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10500" tabRatio="923" activeTab="1"/>
  </bookViews>
  <sheets>
    <sheet name="naslovna stran" sheetId="25" r:id="rId1"/>
    <sheet name="navodila" sheetId="1" r:id="rId2"/>
    <sheet name="vhodni podatki" sheetId="2" r:id="rId3"/>
    <sheet name="stroški investicije" sheetId="3" r:id="rId4"/>
    <sheet name="rezultati" sheetId="4" r:id="rId5"/>
    <sheet name="izračun energentov" sheetId="5" r:id="rId6"/>
    <sheet name="str. ogrev. na leto" sheetId="6" r:id="rId7"/>
    <sheet name="str. ogrev. na MWh" sheetId="7" r:id="rId8"/>
    <sheet name="stroški en. na MWh" sheetId="8" r:id="rId9"/>
    <sheet name="Str. energenta-sestavljeni" sheetId="26" r:id="rId10"/>
    <sheet name="masa en." sheetId="9" r:id="rId11"/>
    <sheet name="volumen en." sheetId="10" r:id="rId12"/>
    <sheet name="CO²" sheetId="11" r:id="rId13"/>
    <sheet name="primarna en." sheetId="12" r:id="rId14"/>
    <sheet name="podatki analize" sheetId="13" r:id="rId15"/>
    <sheet name="ekon.kaz.polena" sheetId="14" r:id="rId16"/>
    <sheet name="ekon.kaz.polena (2)" sheetId="15" r:id="rId17"/>
    <sheet name="ekon.kaz.sekanci" sheetId="16" r:id="rId18"/>
    <sheet name="ekon.kaz.peleti" sheetId="17" r:id="rId19"/>
    <sheet name="ekon.kaz.ELKO" sheetId="18" r:id="rId20"/>
    <sheet name="ekon.kaz.UNP" sheetId="19" r:id="rId21"/>
    <sheet name="ekon.kaz.ZP" sheetId="20" r:id="rId22"/>
    <sheet name="ekon.kaz.TČ" sheetId="21" r:id="rId23"/>
    <sheet name="ekon.kaz.TČ (2)" sheetId="23" r:id="rId24"/>
    <sheet name="ekon.kaz.TČ (3)" sheetId="24" r:id="rId25"/>
    <sheet name="ekonomska primerjava" sheetId="22" r:id="rId26"/>
  </sheets>
  <externalReferences>
    <externalReference r:id="rId27"/>
    <externalReference r:id="rId28"/>
  </externalReferences>
  <definedNames>
    <definedName name="Nutzenergie" localSheetId="19">'[1]izračun energentov'!$E$7</definedName>
    <definedName name="Nutzenergie" localSheetId="18">'[1]izračun energentov'!$E$7</definedName>
    <definedName name="Nutzenergie" localSheetId="15">'[1]izračun energentov'!$E$7</definedName>
    <definedName name="Nutzenergie" localSheetId="16">'[1]izračun energentov'!$E$7</definedName>
    <definedName name="Nutzenergie" localSheetId="17">'[1]izračun energentov'!$E$7</definedName>
    <definedName name="Nutzenergie" localSheetId="22">'[1]izračun energentov'!$E$7</definedName>
    <definedName name="Nutzenergie" localSheetId="23">'[1]izračun energentov'!$E$7</definedName>
    <definedName name="Nutzenergie" localSheetId="24">'[1]izračun energentov'!$E$7</definedName>
    <definedName name="Nutzenergie" localSheetId="20">'[1]izračun energentov'!$E$7</definedName>
    <definedName name="Nutzenergie" localSheetId="21">'[1]izračun energentov'!$E$7</definedName>
    <definedName name="Nutzenergie" localSheetId="25">'[1]izračun energentov'!$E$7</definedName>
    <definedName name="Nutzenergie" localSheetId="0">'[2]izračun energentov'!$E$7</definedName>
    <definedName name="Nutzenergie" localSheetId="14">'[1]izračun energentov'!$E$7</definedName>
    <definedName name="Nutzenergie">'izračun energentov'!$E$7</definedName>
    <definedName name="OLE_LINK1" localSheetId="2">'vhodni podatki'!#REF!</definedName>
    <definedName name="_xlnm.Print_Area" localSheetId="5">'izračun energentov'!$A$1:$N$62</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5" l="1"/>
  <c r="E7" i="5"/>
  <c r="G7" i="5"/>
  <c r="J37" i="5"/>
  <c r="J38" i="5"/>
  <c r="J30" i="5"/>
  <c r="J32" i="5"/>
  <c r="J34" i="5"/>
  <c r="C18" i="3"/>
  <c r="G18" i="3"/>
  <c r="G26" i="2"/>
  <c r="F136" i="2"/>
  <c r="G136" i="2"/>
  <c r="H136" i="2"/>
  <c r="I136" i="2"/>
  <c r="J136" i="2"/>
  <c r="K136" i="2"/>
  <c r="L136" i="2"/>
  <c r="M136" i="2"/>
  <c r="N136" i="2"/>
  <c r="E136" i="2"/>
  <c r="F107" i="2"/>
  <c r="G107" i="2"/>
  <c r="H107" i="2"/>
  <c r="I107" i="2"/>
  <c r="J107" i="2"/>
  <c r="K107" i="2"/>
  <c r="L107" i="2"/>
  <c r="M107" i="2"/>
  <c r="N107" i="2"/>
  <c r="E107" i="2"/>
  <c r="F101" i="2"/>
  <c r="G101" i="2"/>
  <c r="H101" i="2"/>
  <c r="I101" i="2"/>
  <c r="J101" i="2"/>
  <c r="K101" i="2"/>
  <c r="L101" i="2"/>
  <c r="M101" i="2"/>
  <c r="N101" i="2"/>
  <c r="E101" i="2"/>
  <c r="F95" i="2"/>
  <c r="G95" i="2"/>
  <c r="H95" i="2"/>
  <c r="I95" i="2"/>
  <c r="J95" i="2"/>
  <c r="K95" i="2"/>
  <c r="L95" i="2"/>
  <c r="M95" i="2"/>
  <c r="N95" i="2"/>
  <c r="E95" i="2"/>
  <c r="F90" i="2"/>
  <c r="G90" i="2"/>
  <c r="H90" i="2"/>
  <c r="I90" i="2"/>
  <c r="J90" i="2"/>
  <c r="K90" i="2"/>
  <c r="L90" i="2"/>
  <c r="M90" i="2"/>
  <c r="N90" i="2"/>
  <c r="E90" i="2"/>
  <c r="F81" i="2"/>
  <c r="G81" i="2"/>
  <c r="H81" i="2"/>
  <c r="I81" i="2"/>
  <c r="J81" i="2"/>
  <c r="K81" i="2"/>
  <c r="L81" i="2"/>
  <c r="M81" i="2"/>
  <c r="N81" i="2"/>
  <c r="E81" i="2"/>
  <c r="F86" i="2"/>
  <c r="G86" i="2"/>
  <c r="H86" i="2"/>
  <c r="I86" i="2"/>
  <c r="J86" i="2"/>
  <c r="K86" i="2"/>
  <c r="L86" i="2"/>
  <c r="M86" i="2"/>
  <c r="N86" i="2"/>
  <c r="E86" i="2"/>
  <c r="F77" i="2"/>
  <c r="G77" i="2"/>
  <c r="H77" i="2"/>
  <c r="I77" i="2"/>
  <c r="J77" i="2"/>
  <c r="K77" i="2"/>
  <c r="L77" i="2"/>
  <c r="M77" i="2"/>
  <c r="N77" i="2"/>
  <c r="E77" i="2"/>
  <c r="F116" i="2"/>
  <c r="G116" i="2"/>
  <c r="H116" i="2"/>
  <c r="I116" i="2"/>
  <c r="J116" i="2"/>
  <c r="K116" i="2"/>
  <c r="L116" i="2"/>
  <c r="M116" i="2"/>
  <c r="N116" i="2"/>
  <c r="E116" i="2"/>
  <c r="G124" i="2"/>
  <c r="G66" i="2"/>
  <c r="F124" i="2"/>
  <c r="F66" i="2"/>
  <c r="H124" i="2"/>
  <c r="H66" i="2"/>
  <c r="I124" i="2"/>
  <c r="I66" i="2"/>
  <c r="J124" i="2"/>
  <c r="J66" i="2"/>
  <c r="K124" i="2"/>
  <c r="K66" i="2"/>
  <c r="L124" i="2"/>
  <c r="L66" i="2"/>
  <c r="M124" i="2"/>
  <c r="M66" i="2"/>
  <c r="N124" i="2"/>
  <c r="N66" i="2"/>
  <c r="E124" i="2"/>
  <c r="E66" i="2"/>
  <c r="F111" i="2"/>
  <c r="F65" i="2"/>
  <c r="G111" i="2"/>
  <c r="G65" i="2"/>
  <c r="H111" i="2"/>
  <c r="H65" i="2"/>
  <c r="I111" i="2"/>
  <c r="I65" i="2"/>
  <c r="J111" i="2"/>
  <c r="J65" i="2"/>
  <c r="K111" i="2"/>
  <c r="K65" i="2"/>
  <c r="L111" i="2"/>
  <c r="L65" i="2"/>
  <c r="M111" i="2"/>
  <c r="M65" i="2"/>
  <c r="N111" i="2"/>
  <c r="N65" i="2"/>
  <c r="E111" i="2"/>
  <c r="E65" i="2"/>
  <c r="E64" i="2"/>
  <c r="L64" i="2"/>
  <c r="H64" i="2"/>
  <c r="K64" i="2"/>
  <c r="G64" i="2"/>
  <c r="N64" i="2"/>
  <c r="J64" i="2"/>
  <c r="F64" i="2"/>
  <c r="M64" i="2"/>
  <c r="I64" i="2"/>
  <c r="D51" i="5"/>
  <c r="D44" i="5"/>
  <c r="D53" i="5"/>
  <c r="E12" i="5"/>
  <c r="E51" i="5"/>
  <c r="E26" i="5"/>
  <c r="A24" i="5"/>
  <c r="A22" i="5"/>
  <c r="A23" i="5"/>
  <c r="A19" i="5"/>
  <c r="A20" i="5"/>
  <c r="A21" i="5"/>
  <c r="A18" i="5"/>
  <c r="H43" i="2"/>
  <c r="H44" i="2"/>
  <c r="C43" i="2"/>
  <c r="D43" i="2"/>
  <c r="F43" i="2"/>
  <c r="C44" i="2"/>
  <c r="D44" i="2"/>
  <c r="F44" i="2"/>
  <c r="L49" i="2"/>
  <c r="L48" i="2"/>
  <c r="L46" i="2"/>
  <c r="K49" i="2"/>
  <c r="K48" i="2"/>
  <c r="K46" i="2"/>
  <c r="J48" i="2"/>
  <c r="J49" i="2"/>
  <c r="J46" i="2"/>
  <c r="J44" i="2"/>
  <c r="I43" i="2"/>
  <c r="G43" i="2"/>
  <c r="I44" i="2"/>
  <c r="G44" i="2"/>
  <c r="J47" i="2"/>
  <c r="L47" i="2"/>
  <c r="K47" i="2"/>
  <c r="J43" i="2"/>
  <c r="K44" i="5"/>
  <c r="K45" i="5"/>
  <c r="L26" i="13"/>
  <c r="L31" i="13"/>
  <c r="K26" i="13"/>
  <c r="K31" i="13"/>
  <c r="J26" i="13"/>
  <c r="J31" i="13"/>
  <c r="N59" i="5"/>
  <c r="M59" i="5"/>
  <c r="L59" i="5"/>
  <c r="A59" i="5"/>
  <c r="K53" i="5"/>
  <c r="F51" i="5"/>
  <c r="F44" i="5"/>
  <c r="F53" i="5"/>
  <c r="K52" i="5"/>
  <c r="F52" i="5"/>
  <c r="I51" i="5"/>
  <c r="H51" i="5"/>
  <c r="H44" i="5"/>
  <c r="H53" i="5"/>
  <c r="H52" i="5"/>
  <c r="G51" i="5"/>
  <c r="G44" i="5"/>
  <c r="G53" i="5"/>
  <c r="G52" i="5"/>
  <c r="E44" i="5"/>
  <c r="E53" i="5"/>
  <c r="E52" i="5"/>
  <c r="D52" i="5"/>
  <c r="K50" i="5"/>
  <c r="J50" i="5"/>
  <c r="I50" i="5"/>
  <c r="H50" i="5"/>
  <c r="F50" i="5"/>
  <c r="E50" i="5"/>
  <c r="D50" i="5"/>
  <c r="K48" i="5"/>
  <c r="J48" i="5"/>
  <c r="I48" i="5"/>
  <c r="H48" i="5"/>
  <c r="G48" i="5"/>
  <c r="F48" i="5"/>
  <c r="E48" i="5"/>
  <c r="D48" i="5"/>
  <c r="J44" i="5"/>
  <c r="J45" i="5"/>
  <c r="I44" i="5"/>
  <c r="I45" i="5"/>
  <c r="H45" i="5"/>
  <c r="G45" i="5"/>
  <c r="F45" i="5"/>
  <c r="E45" i="5"/>
  <c r="D45" i="5"/>
  <c r="L26" i="5"/>
  <c r="L28" i="5"/>
  <c r="F12" i="5"/>
  <c r="F26" i="5"/>
  <c r="F28" i="5"/>
  <c r="E28" i="5"/>
  <c r="N9" i="5"/>
  <c r="O9" i="4"/>
  <c r="M9" i="5"/>
  <c r="N9" i="4"/>
  <c r="L9" i="5"/>
  <c r="M9" i="4"/>
  <c r="C45" i="4"/>
  <c r="C51" i="4"/>
  <c r="C42" i="4"/>
  <c r="C48" i="4"/>
  <c r="C54" i="4"/>
  <c r="C39" i="4"/>
  <c r="C37" i="4"/>
  <c r="C36" i="4"/>
  <c r="C35" i="4"/>
  <c r="L34" i="4"/>
  <c r="I34" i="4"/>
  <c r="G34" i="4"/>
  <c r="C34" i="4"/>
  <c r="C30" i="4"/>
  <c r="C28" i="4"/>
  <c r="C27" i="4"/>
  <c r="E24" i="4"/>
  <c r="C22" i="4"/>
  <c r="E19" i="4"/>
  <c r="C19" i="4"/>
  <c r="E16" i="4"/>
  <c r="C16" i="4"/>
  <c r="E14" i="4"/>
  <c r="C14" i="4"/>
  <c r="E13" i="4"/>
  <c r="C13" i="4"/>
  <c r="E12" i="4"/>
  <c r="C12" i="4"/>
  <c r="G65" i="3"/>
  <c r="J65" i="3"/>
  <c r="L64" i="3"/>
  <c r="M34" i="4"/>
  <c r="K64" i="3"/>
  <c r="N40" i="3"/>
  <c r="M40" i="3"/>
  <c r="L40" i="3"/>
  <c r="H40" i="3"/>
  <c r="G40" i="3"/>
  <c r="F40" i="3"/>
  <c r="E40" i="3"/>
  <c r="N37" i="3"/>
  <c r="O14" i="4"/>
  <c r="M37" i="3"/>
  <c r="L37" i="3"/>
  <c r="K37" i="3"/>
  <c r="L14" i="4"/>
  <c r="J37" i="3"/>
  <c r="K14" i="4"/>
  <c r="I37" i="3"/>
  <c r="H37" i="3"/>
  <c r="I14" i="4"/>
  <c r="F37" i="3"/>
  <c r="G14" i="4"/>
  <c r="E37" i="3"/>
  <c r="N36" i="3"/>
  <c r="O13" i="4"/>
  <c r="M36" i="3"/>
  <c r="N13" i="4"/>
  <c r="L36" i="3"/>
  <c r="K36" i="3"/>
  <c r="J36" i="3"/>
  <c r="K13" i="4"/>
  <c r="I36" i="3"/>
  <c r="J13" i="4"/>
  <c r="H36" i="3"/>
  <c r="F36" i="3"/>
  <c r="G13" i="4"/>
  <c r="E36" i="3"/>
  <c r="F13" i="4"/>
  <c r="N35" i="3"/>
  <c r="M35" i="3"/>
  <c r="N12" i="4"/>
  <c r="L35" i="3"/>
  <c r="K35" i="3"/>
  <c r="J35" i="3"/>
  <c r="I35" i="3"/>
  <c r="J12" i="4"/>
  <c r="H35" i="3"/>
  <c r="I12" i="4"/>
  <c r="G35" i="3"/>
  <c r="F35" i="3"/>
  <c r="E35" i="3"/>
  <c r="F12" i="4"/>
  <c r="L24" i="3"/>
  <c r="L12" i="5"/>
  <c r="K24" i="3"/>
  <c r="K12" i="5"/>
  <c r="K26" i="5"/>
  <c r="J24" i="3"/>
  <c r="J12" i="5"/>
  <c r="I24" i="3"/>
  <c r="I12" i="5"/>
  <c r="D12" i="5"/>
  <c r="D26" i="5"/>
  <c r="H24" i="3"/>
  <c r="H12" i="5"/>
  <c r="H26" i="5"/>
  <c r="H28" i="5"/>
  <c r="F24" i="3"/>
  <c r="E24" i="3"/>
  <c r="N21" i="3"/>
  <c r="N31" i="3"/>
  <c r="M21" i="3"/>
  <c r="M31" i="3"/>
  <c r="L21" i="3"/>
  <c r="L31" i="3"/>
  <c r="I18" i="3"/>
  <c r="N55" i="3"/>
  <c r="O28" i="4"/>
  <c r="I16" i="3"/>
  <c r="I13" i="3"/>
  <c r="C13" i="3"/>
  <c r="I12" i="3"/>
  <c r="C12" i="3"/>
  <c r="I11" i="3"/>
  <c r="C11" i="3"/>
  <c r="C6" i="3"/>
  <c r="N67" i="2"/>
  <c r="N69" i="2"/>
  <c r="L27" i="13"/>
  <c r="B12" i="24"/>
  <c r="F12" i="24"/>
  <c r="G12" i="24"/>
  <c r="M67" i="2"/>
  <c r="M69" i="2"/>
  <c r="K27" i="13"/>
  <c r="B12" i="23"/>
  <c r="F12" i="23"/>
  <c r="G12" i="23"/>
  <c r="L67" i="2"/>
  <c r="L69" i="2"/>
  <c r="J27" i="13"/>
  <c r="K67" i="2"/>
  <c r="K69" i="2"/>
  <c r="I27" i="13"/>
  <c r="B12" i="20"/>
  <c r="F12" i="20"/>
  <c r="J67" i="2"/>
  <c r="J69" i="2"/>
  <c r="H27" i="13"/>
  <c r="I67" i="2"/>
  <c r="I69" i="2"/>
  <c r="G27" i="13"/>
  <c r="H67" i="2"/>
  <c r="H69" i="2"/>
  <c r="F27" i="13"/>
  <c r="F67" i="2"/>
  <c r="F69" i="2"/>
  <c r="D27" i="13"/>
  <c r="E67" i="2"/>
  <c r="E69" i="2"/>
  <c r="C27" i="13"/>
  <c r="G37" i="3"/>
  <c r="G36" i="3"/>
  <c r="K63" i="2"/>
  <c r="K21" i="3"/>
  <c r="K31" i="3"/>
  <c r="J63" i="2"/>
  <c r="J21" i="3"/>
  <c r="J31" i="3"/>
  <c r="I63" i="2"/>
  <c r="H63" i="2"/>
  <c r="H21" i="3"/>
  <c r="H31" i="3"/>
  <c r="G63" i="2"/>
  <c r="G21" i="3"/>
  <c r="G31" i="3"/>
  <c r="F63" i="2"/>
  <c r="F21" i="3"/>
  <c r="F31" i="3"/>
  <c r="E63" i="2"/>
  <c r="L42" i="2"/>
  <c r="K42" i="2"/>
  <c r="E42" i="2"/>
  <c r="H30" i="2"/>
  <c r="G30" i="2"/>
  <c r="J22" i="2"/>
  <c r="I22" i="2"/>
  <c r="H22" i="2"/>
  <c r="G50" i="5"/>
  <c r="G24" i="3"/>
  <c r="G12" i="5"/>
  <c r="G26" i="5"/>
  <c r="G28" i="5"/>
  <c r="E43" i="2"/>
  <c r="E44" i="2"/>
  <c r="N26" i="5"/>
  <c r="N28" i="5"/>
  <c r="L44" i="2"/>
  <c r="L43" i="2"/>
  <c r="M26" i="5"/>
  <c r="M28" i="5"/>
  <c r="K44" i="2"/>
  <c r="K43" i="2"/>
  <c r="J53" i="5"/>
  <c r="J52" i="5"/>
  <c r="J26" i="5"/>
  <c r="J28" i="5"/>
  <c r="I53" i="5"/>
  <c r="I52" i="5"/>
  <c r="K28" i="5"/>
  <c r="M24" i="3"/>
  <c r="M12" i="5"/>
  <c r="F13" i="5"/>
  <c r="M61" i="3"/>
  <c r="J62" i="3"/>
  <c r="F55" i="3"/>
  <c r="G28" i="4"/>
  <c r="H62" i="3"/>
  <c r="L62" i="3"/>
  <c r="K55" i="3"/>
  <c r="L28" i="4"/>
  <c r="G66" i="3"/>
  <c r="H66" i="3"/>
  <c r="I36" i="4"/>
  <c r="G11" i="3"/>
  <c r="C5" i="4"/>
  <c r="F72" i="3"/>
  <c r="F74" i="3"/>
  <c r="J72" i="3"/>
  <c r="N38" i="3"/>
  <c r="N42" i="3"/>
  <c r="B12" i="14"/>
  <c r="F12" i="14"/>
  <c r="K35" i="4"/>
  <c r="O35" i="4"/>
  <c r="G62" i="3"/>
  <c r="H13" i="4"/>
  <c r="B12" i="17"/>
  <c r="B12" i="21"/>
  <c r="F12" i="21"/>
  <c r="G13" i="5"/>
  <c r="G63" i="3"/>
  <c r="H14" i="4"/>
  <c r="B12" i="18"/>
  <c r="F12" i="18"/>
  <c r="G26" i="13"/>
  <c r="G31" i="13"/>
  <c r="I9" i="5"/>
  <c r="J9" i="4"/>
  <c r="H26" i="13"/>
  <c r="H31" i="13"/>
  <c r="J9" i="5"/>
  <c r="K9" i="4"/>
  <c r="G13" i="3"/>
  <c r="D28" i="5"/>
  <c r="I26" i="5"/>
  <c r="I28" i="5"/>
  <c r="K61" i="3"/>
  <c r="K72" i="3"/>
  <c r="E38" i="3"/>
  <c r="E42" i="3"/>
  <c r="M38" i="3"/>
  <c r="H61" i="3"/>
  <c r="J63" i="3"/>
  <c r="G9" i="5"/>
  <c r="H9" i="4"/>
  <c r="E26" i="13"/>
  <c r="E31" i="13"/>
  <c r="I26" i="13"/>
  <c r="K9" i="5"/>
  <c r="L9" i="4"/>
  <c r="G12" i="3"/>
  <c r="G64" i="3"/>
  <c r="M55" i="3"/>
  <c r="N28" i="4"/>
  <c r="I55" i="3"/>
  <c r="J28" i="4"/>
  <c r="E55" i="3"/>
  <c r="F28" i="4"/>
  <c r="L55" i="3"/>
  <c r="M28" i="4"/>
  <c r="H55" i="3"/>
  <c r="I28" i="4"/>
  <c r="N24" i="3"/>
  <c r="N12" i="5"/>
  <c r="H72" i="3"/>
  <c r="L72" i="3"/>
  <c r="H63" i="3"/>
  <c r="L63" i="3"/>
  <c r="F38" i="3"/>
  <c r="J38" i="3"/>
  <c r="G55" i="3"/>
  <c r="I61" i="3"/>
  <c r="F62" i="3"/>
  <c r="N62" i="3"/>
  <c r="K63" i="3"/>
  <c r="C6" i="4"/>
  <c r="M12" i="4"/>
  <c r="I13" i="4"/>
  <c r="M14" i="4"/>
  <c r="C26" i="13"/>
  <c r="C31" i="13"/>
  <c r="C4" i="22"/>
  <c r="E9" i="5"/>
  <c r="F9" i="4"/>
  <c r="C4" i="4"/>
  <c r="O12" i="4"/>
  <c r="N61" i="3"/>
  <c r="G12" i="20"/>
  <c r="G61" i="3"/>
  <c r="G72" i="3"/>
  <c r="I38" i="3"/>
  <c r="E62" i="3"/>
  <c r="H9" i="5"/>
  <c r="I9" i="4"/>
  <c r="F26" i="13"/>
  <c r="F31" i="13"/>
  <c r="G67" i="2"/>
  <c r="G69" i="2"/>
  <c r="E27" i="13"/>
  <c r="E21" i="3"/>
  <c r="E31" i="3"/>
  <c r="I21" i="3"/>
  <c r="I31" i="3"/>
  <c r="K62" i="3"/>
  <c r="E63" i="3"/>
  <c r="F14" i="4"/>
  <c r="I63" i="3"/>
  <c r="D63" i="3"/>
  <c r="J14" i="4"/>
  <c r="M63" i="3"/>
  <c r="N14" i="4"/>
  <c r="G38" i="3"/>
  <c r="K38" i="3"/>
  <c r="J55" i="3"/>
  <c r="K28" i="4"/>
  <c r="L61" i="3"/>
  <c r="I62" i="3"/>
  <c r="D62" i="3"/>
  <c r="F63" i="3"/>
  <c r="N63" i="3"/>
  <c r="E72" i="3"/>
  <c r="M72" i="3"/>
  <c r="H12" i="4"/>
  <c r="L13" i="4"/>
  <c r="B12" i="15"/>
  <c r="F12" i="15"/>
  <c r="K12" i="4"/>
  <c r="J61" i="3"/>
  <c r="H38" i="3"/>
  <c r="L38" i="3"/>
  <c r="E61" i="3"/>
  <c r="I65" i="3"/>
  <c r="H65" i="3"/>
  <c r="N72" i="3"/>
  <c r="M13" i="4"/>
  <c r="H35" i="4"/>
  <c r="B12" i="19"/>
  <c r="F12" i="19"/>
  <c r="G12" i="4"/>
  <c r="F61" i="3"/>
  <c r="D26" i="13"/>
  <c r="D31" i="13"/>
  <c r="D4" i="22"/>
  <c r="F9" i="5"/>
  <c r="G9" i="4"/>
  <c r="M62" i="3"/>
  <c r="I72" i="3"/>
  <c r="L12" i="4"/>
  <c r="H13" i="5"/>
  <c r="E13" i="5"/>
  <c r="E46" i="3"/>
  <c r="K37" i="4"/>
  <c r="J74" i="3"/>
  <c r="G37" i="4"/>
  <c r="O16" i="4"/>
  <c r="H36" i="4"/>
  <c r="I66" i="3"/>
  <c r="D66" i="3"/>
  <c r="K36" i="4"/>
  <c r="K66" i="3"/>
  <c r="L36" i="4"/>
  <c r="L66" i="3"/>
  <c r="M36" i="4"/>
  <c r="B12" i="16"/>
  <c r="J33" i="4"/>
  <c r="D61" i="3"/>
  <c r="I4" i="22"/>
  <c r="I31" i="13"/>
  <c r="L33" i="4"/>
  <c r="G12" i="19"/>
  <c r="I35" i="4"/>
  <c r="M35" i="4"/>
  <c r="K65" i="3"/>
  <c r="L35" i="4"/>
  <c r="I16" i="4"/>
  <c r="H42" i="3"/>
  <c r="G12" i="15"/>
  <c r="N37" i="4"/>
  <c r="M74" i="3"/>
  <c r="H16" i="4"/>
  <c r="G42" i="3"/>
  <c r="J16" i="4"/>
  <c r="I42" i="3"/>
  <c r="K16" i="4"/>
  <c r="J42" i="3"/>
  <c r="M37" i="4"/>
  <c r="L74" i="3"/>
  <c r="H34" i="4"/>
  <c r="I64" i="3"/>
  <c r="J64" i="3"/>
  <c r="N16" i="4"/>
  <c r="M42" i="3"/>
  <c r="N33" i="4"/>
  <c r="O37" i="4"/>
  <c r="N74" i="3"/>
  <c r="M16" i="4"/>
  <c r="L42" i="3"/>
  <c r="K42" i="3"/>
  <c r="L16" i="4"/>
  <c r="H28" i="4"/>
  <c r="D55" i="3"/>
  <c r="E28" i="4"/>
  <c r="J37" i="4"/>
  <c r="I74" i="3"/>
  <c r="D72" i="3"/>
  <c r="G33" i="4"/>
  <c r="J35" i="4"/>
  <c r="N35" i="4"/>
  <c r="D65" i="3"/>
  <c r="K33" i="4"/>
  <c r="F37" i="4"/>
  <c r="E74" i="3"/>
  <c r="M33" i="4"/>
  <c r="H37" i="4"/>
  <c r="G74" i="3"/>
  <c r="O33" i="4"/>
  <c r="G16" i="4"/>
  <c r="F42" i="3"/>
  <c r="I37" i="4"/>
  <c r="H74" i="3"/>
  <c r="F16" i="4"/>
  <c r="F12" i="17"/>
  <c r="L37" i="4"/>
  <c r="K74" i="3"/>
  <c r="G12" i="18"/>
  <c r="G12" i="21"/>
  <c r="O19" i="4"/>
  <c r="N46" i="3"/>
  <c r="N47" i="3"/>
  <c r="N48" i="3"/>
  <c r="G12" i="14"/>
  <c r="F33" i="4"/>
  <c r="G68" i="3"/>
  <c r="H33" i="4"/>
  <c r="I33" i="4"/>
  <c r="H68" i="3"/>
  <c r="N66" i="3"/>
  <c r="O36" i="4"/>
  <c r="L60" i="5"/>
  <c r="L27" i="3"/>
  <c r="K37" i="5"/>
  <c r="K38" i="5"/>
  <c r="M66" i="3"/>
  <c r="N36" i="4"/>
  <c r="J36" i="4"/>
  <c r="N60" i="5"/>
  <c r="F37" i="5"/>
  <c r="F38" i="5"/>
  <c r="F56" i="5"/>
  <c r="J68" i="3"/>
  <c r="L68" i="3"/>
  <c r="I68" i="3"/>
  <c r="H37" i="5"/>
  <c r="H38" i="5"/>
  <c r="H16" i="5"/>
  <c r="H54" i="3"/>
  <c r="G37" i="5"/>
  <c r="G38" i="5"/>
  <c r="G16" i="5"/>
  <c r="G54" i="3"/>
  <c r="E37" i="5"/>
  <c r="E38" i="5"/>
  <c r="E16" i="5"/>
  <c r="I37" i="5"/>
  <c r="I38" i="5"/>
  <c r="I30" i="5"/>
  <c r="M39" i="4"/>
  <c r="J7" i="22"/>
  <c r="M60" i="5"/>
  <c r="D37" i="5"/>
  <c r="D38" i="5"/>
  <c r="H39" i="4"/>
  <c r="E7" i="22"/>
  <c r="F19" i="4"/>
  <c r="E48" i="3"/>
  <c r="E47" i="3"/>
  <c r="E37" i="4"/>
  <c r="D74" i="3"/>
  <c r="L48" i="3"/>
  <c r="L46" i="3"/>
  <c r="L47" i="3"/>
  <c r="M19" i="4"/>
  <c r="K34" i="4"/>
  <c r="K39" i="4"/>
  <c r="H7" i="22"/>
  <c r="N64" i="3"/>
  <c r="I56" i="5"/>
  <c r="I19" i="4"/>
  <c r="H48" i="3"/>
  <c r="H46" i="3"/>
  <c r="H47" i="3"/>
  <c r="K68" i="3"/>
  <c r="I39" i="4"/>
  <c r="F7" i="22"/>
  <c r="G12" i="17"/>
  <c r="J34" i="4"/>
  <c r="D64" i="3"/>
  <c r="D68" i="3"/>
  <c r="M64" i="3"/>
  <c r="K19" i="4"/>
  <c r="J47" i="3"/>
  <c r="J48" i="3"/>
  <c r="J46" i="3"/>
  <c r="L62" i="5"/>
  <c r="L16" i="5"/>
  <c r="L54" i="3"/>
  <c r="L56" i="5"/>
  <c r="G47" i="3"/>
  <c r="H19" i="4"/>
  <c r="G48" i="3"/>
  <c r="G46" i="3"/>
  <c r="O22" i="4"/>
  <c r="N51" i="3"/>
  <c r="O24" i="4"/>
  <c r="L5" i="22"/>
  <c r="E36" i="4"/>
  <c r="E66" i="3"/>
  <c r="N19" i="4"/>
  <c r="M48" i="3"/>
  <c r="M46" i="3"/>
  <c r="M47" i="3"/>
  <c r="E65" i="3"/>
  <c r="E35" i="4"/>
  <c r="L19" i="4"/>
  <c r="K47" i="3"/>
  <c r="K48" i="3"/>
  <c r="K46" i="3"/>
  <c r="J19" i="4"/>
  <c r="I48" i="3"/>
  <c r="I46" i="3"/>
  <c r="I47" i="3"/>
  <c r="L39" i="4"/>
  <c r="I7" i="22"/>
  <c r="E33" i="4"/>
  <c r="F12" i="16"/>
  <c r="G19" i="4"/>
  <c r="F47" i="3"/>
  <c r="F48" i="3"/>
  <c r="F46" i="3"/>
  <c r="E51" i="3"/>
  <c r="F24" i="4"/>
  <c r="C5" i="22"/>
  <c r="M16" i="5"/>
  <c r="M54" i="3"/>
  <c r="M18" i="5"/>
  <c r="M20" i="5"/>
  <c r="M22" i="5"/>
  <c r="M24" i="5"/>
  <c r="M19" i="5"/>
  <c r="M21" i="5"/>
  <c r="M23" i="5"/>
  <c r="I20" i="5"/>
  <c r="I24" i="5"/>
  <c r="I21" i="5"/>
  <c r="I18" i="5"/>
  <c r="I22" i="5"/>
  <c r="I19" i="5"/>
  <c r="I23" i="5"/>
  <c r="K22" i="5"/>
  <c r="K19" i="5"/>
  <c r="K23" i="5"/>
  <c r="K20" i="5"/>
  <c r="K24" i="5"/>
  <c r="K21" i="5"/>
  <c r="K18" i="5"/>
  <c r="D30" i="5"/>
  <c r="D32" i="5"/>
  <c r="D16" i="5"/>
  <c r="D54" i="3"/>
  <c r="D57" i="3"/>
  <c r="D77" i="3"/>
  <c r="N16" i="5"/>
  <c r="N54" i="3"/>
  <c r="N18" i="5"/>
  <c r="N20" i="5"/>
  <c r="N22" i="5"/>
  <c r="N24" i="5"/>
  <c r="N19" i="5"/>
  <c r="N21" i="5"/>
  <c r="N23" i="5"/>
  <c r="L21" i="5"/>
  <c r="L18" i="5"/>
  <c r="L22" i="5"/>
  <c r="L19" i="5"/>
  <c r="L23" i="5"/>
  <c r="L20" i="5"/>
  <c r="L24" i="5"/>
  <c r="E56" i="5"/>
  <c r="H30" i="5"/>
  <c r="H32" i="5"/>
  <c r="G30" i="5"/>
  <c r="G32" i="5"/>
  <c r="J39" i="4"/>
  <c r="G7" i="22"/>
  <c r="G62" i="5"/>
  <c r="K30" i="5"/>
  <c r="K32" i="5"/>
  <c r="K16" i="5"/>
  <c r="K54" i="3"/>
  <c r="L27" i="4"/>
  <c r="G56" i="5"/>
  <c r="N27" i="3"/>
  <c r="E54" i="3"/>
  <c r="F27" i="4"/>
  <c r="N62" i="5"/>
  <c r="N56" i="5"/>
  <c r="F62" i="5"/>
  <c r="F16" i="5"/>
  <c r="F54" i="3"/>
  <c r="F57" i="3"/>
  <c r="F30" i="5"/>
  <c r="F32" i="5"/>
  <c r="H62" i="5"/>
  <c r="I62" i="5"/>
  <c r="H56" i="5"/>
  <c r="I16" i="5"/>
  <c r="I54" i="3"/>
  <c r="J27" i="4"/>
  <c r="K62" i="5"/>
  <c r="K56" i="5"/>
  <c r="D62" i="5"/>
  <c r="E62" i="5"/>
  <c r="E30" i="5"/>
  <c r="E32" i="5"/>
  <c r="M27" i="3"/>
  <c r="M62" i="5"/>
  <c r="M56" i="5"/>
  <c r="D56" i="5"/>
  <c r="G22" i="4"/>
  <c r="F51" i="3"/>
  <c r="G24" i="4"/>
  <c r="D5" i="22"/>
  <c r="J22" i="4"/>
  <c r="I51" i="3"/>
  <c r="J24" i="4"/>
  <c r="G5" i="22"/>
  <c r="L22" i="4"/>
  <c r="K51" i="3"/>
  <c r="L24" i="4"/>
  <c r="I5" i="22"/>
  <c r="H27" i="4"/>
  <c r="G57" i="3"/>
  <c r="E34" i="4"/>
  <c r="E39" i="4"/>
  <c r="E64" i="3"/>
  <c r="I32" i="5"/>
  <c r="I27" i="3"/>
  <c r="N57" i="3"/>
  <c r="O27" i="4"/>
  <c r="G12" i="16"/>
  <c r="I27" i="4"/>
  <c r="H57" i="3"/>
  <c r="N22" i="4"/>
  <c r="M51" i="3"/>
  <c r="N24" i="4"/>
  <c r="K5" i="22"/>
  <c r="M27" i="4"/>
  <c r="L57" i="3"/>
  <c r="M57" i="3"/>
  <c r="N27" i="4"/>
  <c r="O34" i="4"/>
  <c r="O39" i="4"/>
  <c r="L7" i="22"/>
  <c r="N68" i="3"/>
  <c r="M22" i="4"/>
  <c r="L51" i="3"/>
  <c r="M24" i="4"/>
  <c r="J5" i="22"/>
  <c r="F35" i="4"/>
  <c r="F65" i="3"/>
  <c r="F36" i="4"/>
  <c r="F66" i="3"/>
  <c r="G36" i="4"/>
  <c r="I22" i="4"/>
  <c r="H51" i="3"/>
  <c r="I24" i="4"/>
  <c r="F5" i="22"/>
  <c r="H22" i="4"/>
  <c r="G51" i="3"/>
  <c r="H24" i="4"/>
  <c r="E5" i="22"/>
  <c r="K22" i="4"/>
  <c r="J51" i="3"/>
  <c r="K24" i="4"/>
  <c r="H5" i="22"/>
  <c r="N34" i="4"/>
  <c r="N39" i="4"/>
  <c r="K7" i="22"/>
  <c r="M68" i="3"/>
  <c r="F22" i="4"/>
  <c r="E27" i="3"/>
  <c r="E19" i="5"/>
  <c r="E23" i="5"/>
  <c r="E20" i="5"/>
  <c r="E24" i="5"/>
  <c r="E21" i="5"/>
  <c r="E18" i="5"/>
  <c r="E22" i="5"/>
  <c r="F27" i="3"/>
  <c r="F19" i="5"/>
  <c r="F23" i="5"/>
  <c r="F20" i="5"/>
  <c r="F24" i="5"/>
  <c r="F21" i="5"/>
  <c r="F18" i="5"/>
  <c r="F22" i="5"/>
  <c r="G27" i="3"/>
  <c r="G19" i="5"/>
  <c r="G21" i="5"/>
  <c r="G23" i="5"/>
  <c r="G18" i="5"/>
  <c r="G20" i="5"/>
  <c r="G22" i="5"/>
  <c r="G24" i="5"/>
  <c r="D21" i="5"/>
  <c r="D22" i="5"/>
  <c r="D19" i="5"/>
  <c r="D23" i="5"/>
  <c r="D20" i="5"/>
  <c r="D24" i="5"/>
  <c r="D18" i="5"/>
  <c r="H27" i="3"/>
  <c r="H19" i="5"/>
  <c r="H21" i="5"/>
  <c r="H23" i="5"/>
  <c r="H18" i="5"/>
  <c r="H20" i="5"/>
  <c r="H22" i="5"/>
  <c r="H24" i="5"/>
  <c r="K57" i="3"/>
  <c r="L30" i="4"/>
  <c r="I6" i="22"/>
  <c r="E57" i="3"/>
  <c r="F30" i="4"/>
  <c r="C6" i="22"/>
  <c r="E27" i="4"/>
  <c r="K27" i="3"/>
  <c r="G27" i="4"/>
  <c r="I57" i="3"/>
  <c r="J48" i="4"/>
  <c r="J51" i="4"/>
  <c r="G30" i="4"/>
  <c r="D6" i="22"/>
  <c r="N48" i="4"/>
  <c r="N51" i="4"/>
  <c r="N30" i="4"/>
  <c r="K6" i="22"/>
  <c r="E30" i="4"/>
  <c r="E48" i="4"/>
  <c r="E51" i="4"/>
  <c r="M77" i="3"/>
  <c r="M30" i="4"/>
  <c r="J6" i="22"/>
  <c r="M48" i="4"/>
  <c r="M51" i="4"/>
  <c r="L77" i="3"/>
  <c r="E42" i="4"/>
  <c r="D80" i="3"/>
  <c r="E45" i="4"/>
  <c r="G35" i="4"/>
  <c r="G39" i="4"/>
  <c r="D7" i="22"/>
  <c r="F68" i="3"/>
  <c r="F77" i="3"/>
  <c r="I30" i="4"/>
  <c r="F6" i="22"/>
  <c r="I48" i="4"/>
  <c r="I51" i="4"/>
  <c r="H77" i="3"/>
  <c r="O48" i="4"/>
  <c r="O51" i="4"/>
  <c r="O30" i="4"/>
  <c r="L6" i="22"/>
  <c r="F34" i="4"/>
  <c r="F39" i="4"/>
  <c r="C7" i="22"/>
  <c r="E68" i="3"/>
  <c r="H48" i="4"/>
  <c r="H51" i="4"/>
  <c r="H30" i="4"/>
  <c r="E6" i="22"/>
  <c r="G77" i="3"/>
  <c r="N77" i="3"/>
  <c r="I77" i="3"/>
  <c r="I80" i="3"/>
  <c r="J45" i="4"/>
  <c r="G9" i="22"/>
  <c r="K77" i="3"/>
  <c r="K80" i="3"/>
  <c r="L45" i="4"/>
  <c r="I9" i="22"/>
  <c r="L48" i="4"/>
  <c r="L51" i="4"/>
  <c r="J30" i="4"/>
  <c r="G6" i="22"/>
  <c r="E77" i="3"/>
  <c r="F42" i="4"/>
  <c r="C32" i="13"/>
  <c r="O42" i="4"/>
  <c r="L32" i="13"/>
  <c r="L8" i="22"/>
  <c r="N80" i="3"/>
  <c r="O45" i="4"/>
  <c r="L9" i="22"/>
  <c r="M42" i="4"/>
  <c r="J32" i="13"/>
  <c r="L80" i="3"/>
  <c r="M45" i="4"/>
  <c r="J9" i="22"/>
  <c r="G48" i="4"/>
  <c r="G51" i="4"/>
  <c r="J42" i="4"/>
  <c r="G32" i="13"/>
  <c r="B32" i="13"/>
  <c r="E54" i="4"/>
  <c r="G42" i="4"/>
  <c r="D32" i="13"/>
  <c r="F80" i="3"/>
  <c r="G45" i="4"/>
  <c r="D9" i="22"/>
  <c r="H42" i="4"/>
  <c r="E32" i="13"/>
  <c r="G80" i="3"/>
  <c r="H45" i="4"/>
  <c r="E9" i="22"/>
  <c r="I42" i="4"/>
  <c r="F32" i="13"/>
  <c r="H80" i="3"/>
  <c r="I45" i="4"/>
  <c r="F9" i="22"/>
  <c r="F48" i="4"/>
  <c r="F51" i="4"/>
  <c r="N42" i="4"/>
  <c r="K32" i="13"/>
  <c r="K8" i="22"/>
  <c r="M80" i="3"/>
  <c r="N45" i="4"/>
  <c r="K9" i="22"/>
  <c r="L42" i="4"/>
  <c r="I32" i="13"/>
  <c r="I8" i="22"/>
  <c r="E80" i="3"/>
  <c r="F45" i="4"/>
  <c r="C9" i="22"/>
  <c r="C12" i="24"/>
  <c r="L33" i="13"/>
  <c r="N54" i="4"/>
  <c r="N57" i="4"/>
  <c r="J54" i="4"/>
  <c r="J57" i="4"/>
  <c r="O54" i="4"/>
  <c r="O57" i="4"/>
  <c r="G54" i="4"/>
  <c r="G57" i="4"/>
  <c r="F54" i="4"/>
  <c r="F57" i="4"/>
  <c r="H54" i="4"/>
  <c r="H57" i="4"/>
  <c r="C12" i="21"/>
  <c r="B13" i="21"/>
  <c r="J8" i="22"/>
  <c r="E8" i="22"/>
  <c r="C12" i="16"/>
  <c r="B13" i="16"/>
  <c r="D8" i="22"/>
  <c r="C12" i="15"/>
  <c r="B13" i="15"/>
  <c r="I54" i="4"/>
  <c r="I57" i="4"/>
  <c r="C12" i="18"/>
  <c r="B13" i="18"/>
  <c r="G8" i="22"/>
  <c r="C12" i="17"/>
  <c r="B13" i="17"/>
  <c r="F8" i="22"/>
  <c r="C8" i="22"/>
  <c r="C12" i="14"/>
  <c r="B13" i="14"/>
  <c r="M54" i="4"/>
  <c r="M57" i="4"/>
  <c r="J33" i="13"/>
  <c r="F33" i="13"/>
  <c r="B33" i="13"/>
  <c r="E33" i="13"/>
  <c r="G33" i="13"/>
  <c r="D33" i="13"/>
  <c r="C33" i="13"/>
  <c r="I33" i="13"/>
  <c r="C12" i="20"/>
  <c r="B13" i="20"/>
  <c r="B14" i="20"/>
  <c r="B15" i="20"/>
  <c r="B16" i="20"/>
  <c r="B17" i="20"/>
  <c r="B18" i="20"/>
  <c r="B19" i="20"/>
  <c r="B20" i="20"/>
  <c r="B21" i="20"/>
  <c r="B22" i="20"/>
  <c r="B23" i="20"/>
  <c r="B24" i="20"/>
  <c r="B25" i="20"/>
  <c r="B26" i="20"/>
  <c r="B27" i="20"/>
  <c r="L54" i="4"/>
  <c r="L57" i="4"/>
  <c r="D6" i="24"/>
  <c r="L10" i="22"/>
  <c r="H12" i="24"/>
  <c r="K33" i="13"/>
  <c r="B13" i="24"/>
  <c r="C12" i="23"/>
  <c r="B13" i="23"/>
  <c r="H12" i="21"/>
  <c r="F13" i="21"/>
  <c r="D6" i="21"/>
  <c r="J10" i="22"/>
  <c r="H12" i="18"/>
  <c r="F13" i="18"/>
  <c r="D6" i="18"/>
  <c r="G10" i="22"/>
  <c r="H12" i="17"/>
  <c r="F13" i="17"/>
  <c r="D6" i="17"/>
  <c r="F10" i="22"/>
  <c r="B14" i="17"/>
  <c r="B15" i="17"/>
  <c r="B16" i="17"/>
  <c r="B17" i="17"/>
  <c r="B18" i="17"/>
  <c r="B19" i="17"/>
  <c r="B20" i="17"/>
  <c r="B21" i="17"/>
  <c r="B22" i="17"/>
  <c r="B23" i="17"/>
  <c r="B24" i="17"/>
  <c r="B25" i="17"/>
  <c r="B26" i="17"/>
  <c r="B27" i="17"/>
  <c r="B14" i="18"/>
  <c r="B15" i="18"/>
  <c r="B16" i="18"/>
  <c r="B17" i="18"/>
  <c r="B18" i="18"/>
  <c r="B19" i="18"/>
  <c r="B20" i="18"/>
  <c r="B21" i="18"/>
  <c r="B22" i="18"/>
  <c r="B23" i="18"/>
  <c r="B24" i="18"/>
  <c r="B25" i="18"/>
  <c r="B26" i="18"/>
  <c r="B27" i="18"/>
  <c r="D7" i="18"/>
  <c r="G11" i="22"/>
  <c r="B14" i="16"/>
  <c r="B15" i="16"/>
  <c r="B16" i="16"/>
  <c r="B17" i="16"/>
  <c r="B18" i="16"/>
  <c r="B19" i="16"/>
  <c r="B20" i="16"/>
  <c r="B21" i="16"/>
  <c r="B22" i="16"/>
  <c r="B23" i="16"/>
  <c r="B24" i="16"/>
  <c r="B25" i="16"/>
  <c r="B26" i="16"/>
  <c r="B27" i="16"/>
  <c r="H12" i="16"/>
  <c r="F13" i="16"/>
  <c r="D6" i="16"/>
  <c r="E10" i="22"/>
  <c r="H12" i="14"/>
  <c r="F13" i="14"/>
  <c r="D6" i="14"/>
  <c r="C10" i="22"/>
  <c r="H12" i="20"/>
  <c r="F13" i="20"/>
  <c r="D6" i="20"/>
  <c r="I10" i="22"/>
  <c r="B14" i="15"/>
  <c r="B15" i="15"/>
  <c r="B16" i="15"/>
  <c r="B17" i="15"/>
  <c r="B18" i="15"/>
  <c r="B19" i="15"/>
  <c r="B20" i="15"/>
  <c r="B21" i="15"/>
  <c r="B22" i="15"/>
  <c r="B23" i="15"/>
  <c r="B24" i="15"/>
  <c r="B25" i="15"/>
  <c r="B26" i="15"/>
  <c r="B27" i="15"/>
  <c r="H12" i="15"/>
  <c r="F13" i="15"/>
  <c r="D6" i="15"/>
  <c r="D10" i="22"/>
  <c r="B14" i="14"/>
  <c r="B15" i="14"/>
  <c r="B16" i="14"/>
  <c r="B17" i="14"/>
  <c r="B18" i="14"/>
  <c r="B19" i="14"/>
  <c r="B20" i="14"/>
  <c r="B21" i="14"/>
  <c r="B22" i="14"/>
  <c r="B23" i="14"/>
  <c r="B24" i="14"/>
  <c r="B25" i="14"/>
  <c r="B26" i="14"/>
  <c r="B27" i="14"/>
  <c r="B14" i="21"/>
  <c r="B15" i="21"/>
  <c r="B16" i="21"/>
  <c r="B17" i="21"/>
  <c r="B18" i="21"/>
  <c r="B19" i="21"/>
  <c r="B20" i="21"/>
  <c r="B21" i="21"/>
  <c r="B22" i="21"/>
  <c r="B23" i="21"/>
  <c r="B24" i="21"/>
  <c r="B25" i="21"/>
  <c r="B26" i="21"/>
  <c r="B27" i="21"/>
  <c r="D7" i="17"/>
  <c r="F11" i="22"/>
  <c r="B14" i="24"/>
  <c r="B15" i="24"/>
  <c r="B16" i="24"/>
  <c r="B17" i="24"/>
  <c r="B18" i="24"/>
  <c r="B19" i="24"/>
  <c r="B20" i="24"/>
  <c r="B21" i="24"/>
  <c r="B22" i="24"/>
  <c r="B23" i="24"/>
  <c r="B24" i="24"/>
  <c r="B25" i="24"/>
  <c r="B26" i="24"/>
  <c r="B27" i="24"/>
  <c r="D7" i="24"/>
  <c r="L11" i="22"/>
  <c r="B14" i="23"/>
  <c r="B15" i="23"/>
  <c r="B16" i="23"/>
  <c r="B17" i="23"/>
  <c r="B18" i="23"/>
  <c r="B19" i="23"/>
  <c r="B20" i="23"/>
  <c r="B21" i="23"/>
  <c r="B22" i="23"/>
  <c r="B23" i="23"/>
  <c r="B24" i="23"/>
  <c r="B25" i="23"/>
  <c r="B26" i="23"/>
  <c r="B27" i="23"/>
  <c r="D7" i="16"/>
  <c r="E11" i="22"/>
  <c r="D6" i="23"/>
  <c r="K10" i="22"/>
  <c r="H12" i="23"/>
  <c r="F13" i="23"/>
  <c r="F14" i="23"/>
  <c r="F15" i="23"/>
  <c r="F16" i="23"/>
  <c r="F17" i="23"/>
  <c r="F18" i="23"/>
  <c r="F19" i="23"/>
  <c r="F20" i="23"/>
  <c r="F21" i="23"/>
  <c r="F22" i="23"/>
  <c r="F23" i="23"/>
  <c r="F24" i="23"/>
  <c r="F25" i="23"/>
  <c r="F26" i="23"/>
  <c r="F27" i="23"/>
  <c r="F13" i="24"/>
  <c r="D7" i="21"/>
  <c r="J11" i="22"/>
  <c r="D7" i="20"/>
  <c r="I11" i="22"/>
  <c r="F14" i="15"/>
  <c r="F15" i="15"/>
  <c r="F16" i="15"/>
  <c r="F17" i="15"/>
  <c r="F18" i="15"/>
  <c r="F19" i="15"/>
  <c r="F20" i="15"/>
  <c r="F21" i="15"/>
  <c r="F22" i="15"/>
  <c r="F23" i="15"/>
  <c r="F24" i="15"/>
  <c r="F25" i="15"/>
  <c r="F26" i="15"/>
  <c r="F27" i="15"/>
  <c r="G13" i="15"/>
  <c r="F14" i="20"/>
  <c r="F15" i="20"/>
  <c r="F16" i="20"/>
  <c r="F17" i="20"/>
  <c r="F18" i="20"/>
  <c r="F19" i="20"/>
  <c r="F20" i="20"/>
  <c r="F21" i="20"/>
  <c r="F22" i="20"/>
  <c r="F23" i="20"/>
  <c r="F24" i="20"/>
  <c r="F25" i="20"/>
  <c r="F26" i="20"/>
  <c r="F27" i="20"/>
  <c r="G13" i="20"/>
  <c r="F14" i="17"/>
  <c r="F15" i="17"/>
  <c r="F16" i="17"/>
  <c r="F17" i="17"/>
  <c r="F18" i="17"/>
  <c r="F19" i="17"/>
  <c r="F20" i="17"/>
  <c r="F21" i="17"/>
  <c r="F22" i="17"/>
  <c r="F23" i="17"/>
  <c r="F24" i="17"/>
  <c r="F25" i="17"/>
  <c r="F26" i="17"/>
  <c r="F27" i="17"/>
  <c r="G13" i="17"/>
  <c r="F14" i="21"/>
  <c r="F15" i="21"/>
  <c r="F16" i="21"/>
  <c r="F17" i="21"/>
  <c r="F18" i="21"/>
  <c r="F19" i="21"/>
  <c r="F20" i="21"/>
  <c r="F21" i="21"/>
  <c r="F22" i="21"/>
  <c r="F23" i="21"/>
  <c r="F24" i="21"/>
  <c r="F25" i="21"/>
  <c r="F26" i="21"/>
  <c r="F27" i="21"/>
  <c r="G13" i="21"/>
  <c r="D7" i="14"/>
  <c r="C11" i="22"/>
  <c r="D7" i="15"/>
  <c r="D11" i="22"/>
  <c r="F14" i="14"/>
  <c r="F15" i="14"/>
  <c r="F16" i="14"/>
  <c r="F17" i="14"/>
  <c r="F18" i="14"/>
  <c r="F19" i="14"/>
  <c r="F20" i="14"/>
  <c r="F21" i="14"/>
  <c r="F22" i="14"/>
  <c r="F23" i="14"/>
  <c r="F24" i="14"/>
  <c r="F25" i="14"/>
  <c r="F26" i="14"/>
  <c r="F27" i="14"/>
  <c r="G13" i="14"/>
  <c r="F14" i="16"/>
  <c r="F15" i="16"/>
  <c r="F16" i="16"/>
  <c r="F17" i="16"/>
  <c r="F18" i="16"/>
  <c r="F19" i="16"/>
  <c r="F20" i="16"/>
  <c r="F21" i="16"/>
  <c r="F22" i="16"/>
  <c r="F23" i="16"/>
  <c r="F24" i="16"/>
  <c r="F25" i="16"/>
  <c r="F26" i="16"/>
  <c r="F27" i="16"/>
  <c r="G13" i="16"/>
  <c r="F14" i="18"/>
  <c r="F15" i="18"/>
  <c r="F16" i="18"/>
  <c r="F17" i="18"/>
  <c r="F18" i="18"/>
  <c r="F19" i="18"/>
  <c r="F20" i="18"/>
  <c r="F21" i="18"/>
  <c r="F22" i="18"/>
  <c r="F23" i="18"/>
  <c r="F24" i="18"/>
  <c r="F25" i="18"/>
  <c r="F26" i="18"/>
  <c r="F27" i="18"/>
  <c r="G13" i="18"/>
  <c r="D9" i="18"/>
  <c r="G13" i="22"/>
  <c r="G14" i="14"/>
  <c r="G15" i="14"/>
  <c r="G16" i="14"/>
  <c r="G17" i="14"/>
  <c r="G18" i="14"/>
  <c r="G19" i="14"/>
  <c r="G20" i="14"/>
  <c r="G21" i="14"/>
  <c r="G22" i="14"/>
  <c r="G23" i="14"/>
  <c r="G24" i="14"/>
  <c r="G25" i="14"/>
  <c r="G26" i="14"/>
  <c r="G27" i="14"/>
  <c r="G13" i="23"/>
  <c r="G14" i="23"/>
  <c r="G15" i="23"/>
  <c r="G16" i="23"/>
  <c r="G17" i="23"/>
  <c r="G18" i="23"/>
  <c r="G19" i="23"/>
  <c r="G20" i="23"/>
  <c r="G21" i="23"/>
  <c r="G22" i="23"/>
  <c r="G23" i="23"/>
  <c r="G24" i="23"/>
  <c r="G25" i="23"/>
  <c r="G26" i="23"/>
  <c r="G27" i="23"/>
  <c r="D7" i="23"/>
  <c r="K11" i="22"/>
  <c r="D8" i="21"/>
  <c r="J12" i="22"/>
  <c r="F14" i="24"/>
  <c r="F15" i="24"/>
  <c r="F16" i="24"/>
  <c r="F17" i="24"/>
  <c r="F18" i="24"/>
  <c r="F19" i="24"/>
  <c r="F20" i="24"/>
  <c r="F21" i="24"/>
  <c r="F22" i="24"/>
  <c r="F23" i="24"/>
  <c r="F24" i="24"/>
  <c r="F25" i="24"/>
  <c r="F26" i="24"/>
  <c r="F27" i="24"/>
  <c r="G13" i="24"/>
  <c r="D9" i="23"/>
  <c r="K13" i="22"/>
  <c r="G14" i="15"/>
  <c r="G15" i="15"/>
  <c r="G16" i="15"/>
  <c r="G17" i="15"/>
  <c r="G18" i="15"/>
  <c r="G19" i="15"/>
  <c r="G20" i="15"/>
  <c r="G21" i="15"/>
  <c r="G22" i="15"/>
  <c r="G23" i="15"/>
  <c r="G24" i="15"/>
  <c r="G25" i="15"/>
  <c r="G26" i="15"/>
  <c r="G27" i="15"/>
  <c r="G14" i="20"/>
  <c r="G15" i="20"/>
  <c r="G16" i="20"/>
  <c r="G17" i="20"/>
  <c r="G18" i="20"/>
  <c r="G19" i="20"/>
  <c r="G20" i="20"/>
  <c r="G21" i="20"/>
  <c r="G22" i="20"/>
  <c r="G23" i="20"/>
  <c r="G24" i="20"/>
  <c r="G25" i="20"/>
  <c r="G26" i="20"/>
  <c r="G27" i="20"/>
  <c r="G14" i="16"/>
  <c r="G15" i="16"/>
  <c r="G16" i="16"/>
  <c r="G17" i="16"/>
  <c r="G18" i="16"/>
  <c r="G19" i="16"/>
  <c r="G20" i="16"/>
  <c r="G21" i="16"/>
  <c r="G22" i="16"/>
  <c r="G23" i="16"/>
  <c r="G24" i="16"/>
  <c r="G25" i="16"/>
  <c r="G26" i="16"/>
  <c r="G27" i="16"/>
  <c r="D8" i="14"/>
  <c r="C12" i="22"/>
  <c r="G14" i="21"/>
  <c r="G15" i="21"/>
  <c r="G16" i="21"/>
  <c r="G17" i="21"/>
  <c r="G18" i="21"/>
  <c r="G19" i="21"/>
  <c r="G20" i="21"/>
  <c r="G21" i="21"/>
  <c r="G22" i="21"/>
  <c r="G23" i="21"/>
  <c r="G24" i="21"/>
  <c r="G25" i="21"/>
  <c r="G26" i="21"/>
  <c r="G27" i="21"/>
  <c r="G14" i="17"/>
  <c r="G15" i="17"/>
  <c r="G16" i="17"/>
  <c r="G17" i="17"/>
  <c r="G18" i="17"/>
  <c r="G19" i="17"/>
  <c r="G20" i="17"/>
  <c r="G21" i="17"/>
  <c r="G22" i="17"/>
  <c r="G23" i="17"/>
  <c r="G24" i="17"/>
  <c r="G25" i="17"/>
  <c r="G26" i="17"/>
  <c r="G27" i="17"/>
  <c r="D8" i="20"/>
  <c r="I12" i="22"/>
  <c r="D8" i="15"/>
  <c r="D12" i="22"/>
  <c r="D8" i="23"/>
  <c r="K12" i="22"/>
  <c r="G14" i="18"/>
  <c r="G15" i="18"/>
  <c r="G16" i="18"/>
  <c r="G17" i="18"/>
  <c r="G18" i="18"/>
  <c r="G19" i="18"/>
  <c r="G20" i="18"/>
  <c r="G21" i="18"/>
  <c r="G22" i="18"/>
  <c r="G23" i="18"/>
  <c r="G24" i="18"/>
  <c r="G25" i="18"/>
  <c r="G26" i="18"/>
  <c r="G27" i="18"/>
  <c r="D9" i="16"/>
  <c r="E13" i="22"/>
  <c r="D9" i="21"/>
  <c r="J13" i="22"/>
  <c r="D9" i="17"/>
  <c r="F13" i="22"/>
  <c r="D9" i="20"/>
  <c r="I13" i="22"/>
  <c r="D9" i="15"/>
  <c r="D13" i="22"/>
  <c r="D8" i="18"/>
  <c r="G12" i="22"/>
  <c r="D8" i="16"/>
  <c r="E12" i="22"/>
  <c r="D9" i="14"/>
  <c r="C13" i="22"/>
  <c r="D8" i="17"/>
  <c r="F12" i="22"/>
  <c r="D8" i="24"/>
  <c r="L12" i="22"/>
  <c r="D9" i="24"/>
  <c r="L13" i="22"/>
  <c r="G14" i="24"/>
  <c r="G15" i="24"/>
  <c r="G16" i="24"/>
  <c r="G17" i="24"/>
  <c r="G18" i="24"/>
  <c r="G19" i="24"/>
  <c r="G20" i="24"/>
  <c r="G21" i="24"/>
  <c r="G22" i="24"/>
  <c r="G23" i="24"/>
  <c r="G24" i="24"/>
  <c r="G25" i="24"/>
  <c r="G26" i="24"/>
  <c r="G27" i="24"/>
  <c r="J16" i="5"/>
  <c r="J54" i="3"/>
  <c r="J57" i="3"/>
  <c r="J77" i="3"/>
  <c r="K42" i="4"/>
  <c r="H32" i="13"/>
  <c r="H33" i="13"/>
  <c r="H12" i="19"/>
  <c r="F13" i="19"/>
  <c r="F14" i="19"/>
  <c r="F15" i="19"/>
  <c r="F16" i="19"/>
  <c r="F17" i="19"/>
  <c r="F18" i="19"/>
  <c r="F19" i="19"/>
  <c r="F20" i="19"/>
  <c r="F21" i="19"/>
  <c r="F22" i="19"/>
  <c r="F23" i="19"/>
  <c r="F24" i="19"/>
  <c r="F25" i="19"/>
  <c r="F26" i="19"/>
  <c r="F27" i="19"/>
  <c r="D9" i="19"/>
  <c r="H13" i="22"/>
  <c r="D8" i="19"/>
  <c r="H12" i="22"/>
  <c r="G13" i="19"/>
  <c r="G14" i="19"/>
  <c r="G15" i="19"/>
  <c r="G16" i="19"/>
  <c r="G17" i="19"/>
  <c r="G18" i="19"/>
  <c r="G19" i="19"/>
  <c r="G20" i="19"/>
  <c r="G21" i="19"/>
  <c r="G22" i="19"/>
  <c r="G23" i="19"/>
  <c r="G24" i="19"/>
  <c r="G25" i="19"/>
  <c r="G26" i="19"/>
  <c r="G27" i="19"/>
  <c r="C12" i="19"/>
  <c r="B13" i="19"/>
  <c r="B14" i="19"/>
  <c r="B15" i="19"/>
  <c r="B16" i="19"/>
  <c r="B17" i="19"/>
  <c r="B18" i="19"/>
  <c r="B19" i="19"/>
  <c r="B20" i="19"/>
  <c r="B21" i="19"/>
  <c r="B22" i="19"/>
  <c r="B23" i="19"/>
  <c r="B24" i="19"/>
  <c r="B25" i="19"/>
  <c r="B26" i="19"/>
  <c r="B27" i="19"/>
  <c r="D7" i="19"/>
  <c r="H11" i="22"/>
  <c r="D6" i="19"/>
  <c r="H10" i="22"/>
  <c r="H8" i="22"/>
  <c r="K54" i="4"/>
  <c r="K57" i="4"/>
  <c r="J80" i="3"/>
  <c r="K45" i="4"/>
  <c r="H9" i="22"/>
  <c r="K30" i="4"/>
  <c r="H6" i="22"/>
  <c r="K48" i="4"/>
  <c r="K51" i="4"/>
  <c r="J27" i="3"/>
  <c r="J22" i="5"/>
  <c r="J18" i="5"/>
  <c r="J21" i="5"/>
  <c r="J24" i="5"/>
  <c r="J20" i="5"/>
  <c r="J23" i="5"/>
  <c r="J19" i="5"/>
  <c r="K27" i="4"/>
  <c r="J62" i="5"/>
  <c r="J56" i="5"/>
</calcChain>
</file>

<file path=xl/comments1.xml><?xml version="1.0" encoding="utf-8"?>
<comments xmlns="http://schemas.openxmlformats.org/spreadsheetml/2006/main">
  <authors>
    <author>Tomaž Lozej</author>
  </authors>
  <commentList>
    <comment ref="C96" authorId="0">
      <text>
        <r>
          <rPr>
            <b/>
            <sz val="9"/>
            <color indexed="81"/>
            <rFont val="Segoe UI"/>
            <family val="2"/>
            <charset val="238"/>
          </rPr>
          <t>Tomaž Lozej:</t>
        </r>
        <r>
          <rPr>
            <sz val="9"/>
            <color indexed="81"/>
            <rFont val="Segoe UI"/>
            <family val="2"/>
            <charset val="238"/>
          </rPr>
          <t xml:space="preserve">
Toplotna moč pri -7°C zunanje temperature</t>
        </r>
      </text>
    </comment>
  </commentList>
</comments>
</file>

<file path=xl/comments2.xml><?xml version="1.0" encoding="utf-8"?>
<comments xmlns="http://schemas.openxmlformats.org/spreadsheetml/2006/main">
  <authors>
    <author>Tomaž Lozej</author>
  </authors>
  <commentList>
    <comment ref="J66" authorId="0">
      <text>
        <r>
          <rPr>
            <b/>
            <sz val="9"/>
            <color indexed="81"/>
            <rFont val="Segoe UI"/>
            <family val="2"/>
            <charset val="238"/>
          </rPr>
          <t>Tomaž Lozej:</t>
        </r>
        <r>
          <rPr>
            <sz val="9"/>
            <color indexed="81"/>
            <rFont val="Segoe UI"/>
            <family val="2"/>
            <charset val="238"/>
          </rPr>
          <t xml:space="preserve">
Vključuje najem plinohrama</t>
        </r>
      </text>
    </comment>
  </commentList>
</comments>
</file>

<file path=xl/sharedStrings.xml><?xml version="1.0" encoding="utf-8"?>
<sst xmlns="http://schemas.openxmlformats.org/spreadsheetml/2006/main" count="658" uniqueCount="368">
  <si>
    <t xml:space="preserve">Izračun upravičenosti investicije je izdelan na osnovi: </t>
  </si>
  <si>
    <t xml:space="preserve">Tehnično gospodarskih kriterijev DOLB in KNLB (www.aure.si) </t>
  </si>
  <si>
    <t xml:space="preserve">in Navodil nemškega združenja inženirjev </t>
  </si>
  <si>
    <t>(Verein Deutscher Ingenierue) VDI 2076</t>
  </si>
  <si>
    <t>Navodila za uporabnika</t>
  </si>
  <si>
    <t>Navodila za vnos podatkov</t>
  </si>
  <si>
    <t xml:space="preserve">Računski model potrebuje vnesene podatke v dveh delovni list: "vhodni podatki". </t>
  </si>
  <si>
    <t xml:space="preserve">Izpolnite le rumena polja! V zelenih poljih so prikazani rezultati. Oranžna polja se samodejno kopirajo iz </t>
  </si>
  <si>
    <t>izračunov in vnesenih podatkov.</t>
  </si>
  <si>
    <t>Delovni list vhodni podatki - stroški investicije</t>
  </si>
  <si>
    <r>
      <t>Obrestna mera (i)</t>
    </r>
    <r>
      <rPr>
        <sz val="10"/>
        <rFont val="Arial"/>
        <family val="2"/>
        <charset val="238"/>
      </rPr>
      <t xml:space="preserve"> in </t>
    </r>
    <r>
      <rPr>
        <b/>
        <sz val="10"/>
        <rFont val="Arial"/>
        <family val="2"/>
        <charset val="238"/>
      </rPr>
      <t>življenska doba (n)</t>
    </r>
    <r>
      <rPr>
        <sz val="10"/>
        <rFont val="Arial"/>
        <family val="2"/>
        <charset val="238"/>
      </rPr>
      <t xml:space="preserve"> v letih sta osnovna podatka za izračun</t>
    </r>
    <r>
      <rPr>
        <sz val="10"/>
        <rFont val="Arial"/>
        <family val="2"/>
        <charset val="238"/>
      </rPr>
      <t xml:space="preserve"> faktorja anuitete (AF).</t>
    </r>
  </si>
  <si>
    <r>
      <t>Letni stroški vzdrževanja</t>
    </r>
    <r>
      <rPr>
        <sz val="10"/>
        <rFont val="Arial"/>
        <family val="2"/>
        <charset val="238"/>
      </rPr>
      <t xml:space="preserve"> se podajo kot ocenjene vrednosti stroška investicije v procentih.</t>
    </r>
  </si>
  <si>
    <t xml:space="preserve">Za strojne instalacije znašajo 1%, za gradbena dela pa 0,5 %, lahko pa se jih spreminja. </t>
  </si>
  <si>
    <r>
      <t>Potrebna končna energija se izračuna iz</t>
    </r>
    <r>
      <rPr>
        <sz val="10"/>
        <rFont val="Arial"/>
        <family val="2"/>
        <charset val="238"/>
      </rPr>
      <t xml:space="preserve"> toplotne moči obstoječega kotla in</t>
    </r>
    <r>
      <rPr>
        <sz val="10"/>
        <rFont val="Arial"/>
        <family val="2"/>
        <charset val="238"/>
      </rPr>
      <t xml:space="preserve"> predvidenega  </t>
    </r>
  </si>
  <si>
    <r>
      <t>časa obratovnja pri polni moči</t>
    </r>
    <r>
      <rPr>
        <sz val="10"/>
        <rFont val="Arial"/>
        <family val="2"/>
        <charset val="238"/>
      </rPr>
      <t xml:space="preserve"> </t>
    </r>
  </si>
  <si>
    <t xml:space="preserve">V primeru zamenjave starega kotla na fosilna goriva se potrebno končno energijo izračuna tudi na </t>
  </si>
  <si>
    <t xml:space="preserve">osnovi dosedanje rabe energenta in ocene izkoristka obstoječega sistema. </t>
  </si>
  <si>
    <r>
      <t>Iz</t>
    </r>
    <r>
      <rPr>
        <b/>
        <sz val="10"/>
        <rFont val="Arial"/>
        <family val="2"/>
        <charset val="238"/>
      </rPr>
      <t xml:space="preserve"> stroškov energenta na enoto </t>
    </r>
    <r>
      <rPr>
        <sz val="10"/>
        <rFont val="Arial"/>
        <family val="2"/>
        <charset val="238"/>
      </rPr>
      <t>se</t>
    </r>
    <r>
      <rPr>
        <sz val="10"/>
        <rFont val="Arial"/>
        <family val="2"/>
        <charset val="238"/>
      </rPr>
      <t xml:space="preserve"> izračunajo predvideni letni stroški energenta, pri čemer so</t>
    </r>
  </si>
  <si>
    <t>podrobnosti glede energenta obravnavane v delovnem listu izračun energenta.</t>
  </si>
  <si>
    <r>
      <t>Stroški investicije</t>
    </r>
    <r>
      <rPr>
        <sz val="10"/>
        <rFont val="Arial"/>
        <family val="2"/>
        <charset val="238"/>
      </rPr>
      <t xml:space="preserve"> morajo biti podani ločeno za kotel, strojne inštalacije in gradbena dela.</t>
    </r>
  </si>
  <si>
    <r>
      <t xml:space="preserve">Vnesite odstotek od celotne vrednosti investivicije za katerega je možno </t>
    </r>
    <r>
      <rPr>
        <b/>
        <sz val="10"/>
        <rFont val="Arial"/>
        <family val="2"/>
        <charset val="238"/>
      </rPr>
      <t>pridobiti subvencijo.</t>
    </r>
  </si>
  <si>
    <r>
      <t xml:space="preserve">Vnesite odstotek odobrene </t>
    </r>
    <r>
      <rPr>
        <b/>
        <sz val="10"/>
        <rFont val="Arial"/>
        <family val="2"/>
        <charset val="238"/>
      </rPr>
      <t xml:space="preserve">subvencije </t>
    </r>
    <r>
      <rPr>
        <sz val="10"/>
        <rFont val="Arial"/>
        <family val="2"/>
        <charset val="238"/>
      </rPr>
      <t>za del investicije za katerega je možno pridobiti subvencijo</t>
    </r>
    <r>
      <rPr>
        <sz val="10"/>
        <rFont val="Arial"/>
        <family val="2"/>
        <charset val="238"/>
      </rPr>
      <t xml:space="preserve"> .</t>
    </r>
  </si>
  <si>
    <t>Stroški kapitala se izračunajo iz anuitetnega faktorja za investicije z odšteto subvencijo z prepostavko,</t>
  </si>
  <si>
    <t>da se subvencija enakomerno porazdeli na stroške kurilne naprave, strojnih instalacij in gradbenih del.</t>
  </si>
  <si>
    <t xml:space="preserve">Stroški energenta se izračunajo v delovnem listu izračun energentov, z upoštevanjem letnega izkoristka </t>
  </si>
  <si>
    <t>kurilne naprave.</t>
  </si>
  <si>
    <r>
      <t>Stroški električne energije</t>
    </r>
    <r>
      <rPr>
        <sz val="10"/>
        <rFont val="Arial"/>
        <family val="2"/>
        <charset val="238"/>
      </rPr>
      <t xml:space="preserve"> vklučujejo porabo kurilne naprave in podajalnih sistemov, …</t>
    </r>
  </si>
  <si>
    <t xml:space="preserve">Ob smiselni uporabi Tehnično gospodarskih kriterijev DOLB vzamemo 15 kWh Wel / 1 MWh Wth. </t>
  </si>
  <si>
    <t>Stroški vzdrževanja se izračunajo iz ocenjenega odstotka letnih stroškov vzdrževanja in skupnega</t>
  </si>
  <si>
    <t>stroška investicije.</t>
  </si>
  <si>
    <r>
      <t>Stroški osebja</t>
    </r>
    <r>
      <rPr>
        <sz val="10"/>
        <rFont val="Arial"/>
        <family val="2"/>
        <charset val="238"/>
      </rPr>
      <t xml:space="preserve"> se nanašajo na periodične preglede kurilne naprave in rokovanje z energentom.</t>
    </r>
  </si>
  <si>
    <t xml:space="preserve">Ob smiselni uporabi Tehnično gospodarskih kriterijev DOLB vzamemo 2 €  / 1 MWh Wth. </t>
  </si>
  <si>
    <r>
      <t xml:space="preserve">Stroški </t>
    </r>
    <r>
      <rPr>
        <b/>
        <sz val="10"/>
        <rFont val="Arial"/>
        <family val="2"/>
        <charset val="238"/>
      </rPr>
      <t>dimnikarja</t>
    </r>
    <r>
      <rPr>
        <sz val="10"/>
        <rFont val="Arial"/>
        <family val="2"/>
        <charset val="238"/>
      </rPr>
      <t xml:space="preserve"> se ocenijo za standardno opremo in usluge.</t>
    </r>
  </si>
  <si>
    <t xml:space="preserve">Ocenijo se glede na število dimnikov,… </t>
  </si>
  <si>
    <r>
      <t xml:space="preserve">Stoški </t>
    </r>
    <r>
      <rPr>
        <b/>
        <sz val="10"/>
        <rFont val="Arial"/>
        <family val="2"/>
        <charset val="238"/>
      </rPr>
      <t>pogodb o vzdrževanju</t>
    </r>
    <r>
      <rPr>
        <sz val="10"/>
        <rFont val="Arial"/>
        <family val="2"/>
        <charset val="238"/>
      </rPr>
      <t xml:space="preserve"> se ocenijo glede na standardne servisne preglede opreme.</t>
    </r>
  </si>
  <si>
    <t xml:space="preserve">Ob smiselni uporabi Tehnično gospodarskih kriterijev DOLB vzamemo 0,5 €  / 1 MWh Wth. </t>
  </si>
  <si>
    <r>
      <t>Drugi stroški</t>
    </r>
    <r>
      <rPr>
        <sz val="10"/>
        <rFont val="Arial"/>
        <family val="2"/>
        <charset val="238"/>
      </rPr>
      <t xml:space="preserve"> zajemajo na primer strošek zavarovanja, ipd.</t>
    </r>
  </si>
  <si>
    <t xml:space="preserve">Ob smiselni uporabi Tehnično gospodarskih kriterijev DOLB vzamemo 0,2 % vrednosti kotla in instalacij </t>
  </si>
  <si>
    <t xml:space="preserve">na leto. </t>
  </si>
  <si>
    <t>Delovni list vhodni podatki - Izračun energenta</t>
  </si>
  <si>
    <t>Letni stroški energenta se izračunajo iz stroška energenta na enoto, ki so podani v delovnem listu stroški</t>
  </si>
  <si>
    <t>investicije</t>
  </si>
  <si>
    <r>
      <t xml:space="preserve">Vnesite </t>
    </r>
    <r>
      <rPr>
        <b/>
        <sz val="10"/>
        <rFont val="Arial"/>
        <family val="2"/>
        <charset val="238"/>
      </rPr>
      <t xml:space="preserve">letni izkoristek kurilne naprave, </t>
    </r>
    <r>
      <rPr>
        <sz val="10"/>
        <rFont val="Arial"/>
        <family val="2"/>
        <charset val="238"/>
      </rPr>
      <t>ki ustreza vaši opremi.</t>
    </r>
  </si>
  <si>
    <r>
      <t xml:space="preserve">Vnesite skupno </t>
    </r>
    <r>
      <rPr>
        <b/>
        <sz val="10"/>
        <rFont val="Arial"/>
        <family val="2"/>
        <charset val="238"/>
      </rPr>
      <t>vsebnost vode</t>
    </r>
    <r>
      <rPr>
        <sz val="10"/>
        <rFont val="Arial"/>
        <family val="2"/>
        <charset val="238"/>
      </rPr>
      <t xml:space="preserve"> biomase (izračunana kot procent mase sveže snovi).</t>
    </r>
  </si>
  <si>
    <t>Okvirne vrednosti: Lesni peleti: 6%, suhi gozdni sekanci: 20-35%, suhi industrijski sekanci: 15-35%.</t>
  </si>
  <si>
    <r>
      <t xml:space="preserve">Vnesite </t>
    </r>
    <r>
      <rPr>
        <b/>
        <sz val="10"/>
        <rFont val="Arial"/>
        <family val="2"/>
        <charset val="238"/>
      </rPr>
      <t>gostoto suhe nasute snovi</t>
    </r>
    <r>
      <rPr>
        <sz val="10"/>
        <rFont val="Arial"/>
        <family val="2"/>
        <charset val="238"/>
      </rPr>
      <t xml:space="preserve"> za uporabljene sekance in pelete.</t>
    </r>
  </si>
  <si>
    <t xml:space="preserve">Primerjava stroškov ogrevanja </t>
  </si>
  <si>
    <t>ter izračun ekonomskih kazalnikov operacije</t>
  </si>
  <si>
    <t xml:space="preserve">Izpolni rumena polja! </t>
  </si>
  <si>
    <t>Stroški energenta vključujejo DDV.</t>
  </si>
  <si>
    <t xml:space="preserve">VHODNI PODATKI: </t>
  </si>
  <si>
    <t>anuitetni faktor:</t>
  </si>
  <si>
    <t>skladna z razpisno dokumentacijo KNLB 2</t>
  </si>
  <si>
    <t>in Tehnično gospodarskimi kriteriji DOLB</t>
  </si>
  <si>
    <t xml:space="preserve">življenska doba </t>
  </si>
  <si>
    <t>let</t>
  </si>
  <si>
    <t>str.vzdrž. (%)</t>
  </si>
  <si>
    <t>kotel</t>
  </si>
  <si>
    <t>instalacije</t>
  </si>
  <si>
    <t>gradbena dela</t>
  </si>
  <si>
    <t>NAZIVNA MOČ KURILNE NAPRAVE:</t>
  </si>
  <si>
    <t>nova predvidena moč</t>
  </si>
  <si>
    <t>kW</t>
  </si>
  <si>
    <t>sezonski izkoristek kotla</t>
  </si>
  <si>
    <t>SCOP Toplotne črpalke (W35)</t>
  </si>
  <si>
    <t xml:space="preserve">BODOČA RABA  ENERGIJA: </t>
  </si>
  <si>
    <t>Končna</t>
  </si>
  <si>
    <t>Potrebna toplota</t>
  </si>
  <si>
    <t>skupna letna predvidena potrebna končna energija</t>
  </si>
  <si>
    <t>MWh/a</t>
  </si>
  <si>
    <t>SEDANJA  RABA ENERGIJE</t>
  </si>
  <si>
    <t>raba energije za ogrevanje</t>
  </si>
  <si>
    <t>ELKO</t>
  </si>
  <si>
    <t>OBSTOJEČE STANJE:</t>
  </si>
  <si>
    <t>nazivna moč kotla (kombiniran olje/drva)</t>
  </si>
  <si>
    <t>* izkoristki so ocenjeni glede na starost in stanje kotla</t>
  </si>
  <si>
    <t xml:space="preserve">CENE ENERGENTOV (z DDV): </t>
  </si>
  <si>
    <t>Polena (bukev)</t>
  </si>
  <si>
    <t>Polena (iglavci)</t>
  </si>
  <si>
    <t>UNP</t>
  </si>
  <si>
    <t>ZP</t>
  </si>
  <si>
    <t>Elekt. energija
(A/W)</t>
  </si>
  <si>
    <t>Elekt. energija
(B/W)</t>
  </si>
  <si>
    <t>Elekt. energija
(W/W)</t>
  </si>
  <si>
    <t>€/kg</t>
  </si>
  <si>
    <t>€/l</t>
  </si>
  <si>
    <t>€/m3</t>
  </si>
  <si>
    <t>€/MWh</t>
  </si>
  <si>
    <t>Za izračun cene za polena bukev (iglavci) se upošteva podatek 45 (30) €/nm3 in gostota nasutja 365 (250) kg/nm3</t>
  </si>
  <si>
    <t>Za izračun cene sekancev se upošteva podatek 17 €/nm3 in gostota nasutja 180 kg/nm3</t>
  </si>
  <si>
    <t xml:space="preserve">Cene energentov dobimo na: </t>
  </si>
  <si>
    <t>Primerjava cen energentov; ENSVET</t>
  </si>
  <si>
    <t>pri ponudnikih energentov (cene december 2017)</t>
  </si>
  <si>
    <t>INVESTICIJA:</t>
  </si>
  <si>
    <t>podatke vnašamo brez DDV</t>
  </si>
  <si>
    <t>TČ zrak/voda</t>
  </si>
  <si>
    <t>TČ zemlja/voda</t>
  </si>
  <si>
    <t>TČ voda/voda</t>
  </si>
  <si>
    <t>KOTEL/TČ</t>
  </si>
  <si>
    <t>INSTALACIJE</t>
  </si>
  <si>
    <t xml:space="preserve">GRADBENA DELA </t>
  </si>
  <si>
    <t>SKUPAJ</t>
  </si>
  <si>
    <t>SKUPAJ INVEST.</t>
  </si>
  <si>
    <t xml:space="preserve">STROŠKI OBRATOVANJA: </t>
  </si>
  <si>
    <t xml:space="preserve">Smiselno se upošteva:  </t>
  </si>
  <si>
    <t>Tehnično gospodarske kriterije za daljinska ogrevanja na lesno biomaso</t>
  </si>
  <si>
    <t xml:space="preserve">strošek goriva / biomase </t>
  </si>
  <si>
    <t xml:space="preserve">najmanj </t>
  </si>
  <si>
    <t>/MWh toplote</t>
  </si>
  <si>
    <t xml:space="preserve">strošek osebja </t>
  </si>
  <si>
    <t>stroški vzdrževanja</t>
  </si>
  <si>
    <t>po VDI 2067</t>
  </si>
  <si>
    <t xml:space="preserve">stroški električne energije </t>
  </si>
  <si>
    <t>najmanj</t>
  </si>
  <si>
    <t>kWh/MWh toplote</t>
  </si>
  <si>
    <t>obrestna mera na lastna sredstva (kapital)</t>
  </si>
  <si>
    <t>na leto</t>
  </si>
  <si>
    <t xml:space="preserve">obresti na posojila </t>
  </si>
  <si>
    <t>EURIBOR + 0,3 % na leto</t>
  </si>
  <si>
    <t>Časovni okvir za izračun dinamičnih kazalcev invest.</t>
  </si>
  <si>
    <t xml:space="preserve">stroški dimnikarja </t>
  </si>
  <si>
    <t>letno</t>
  </si>
  <si>
    <t>Anuitetni faktor</t>
  </si>
  <si>
    <t>Osnovni podatki</t>
  </si>
  <si>
    <t>življenska doba</t>
  </si>
  <si>
    <t>amortizacijska stopnja</t>
  </si>
  <si>
    <t>letni stroški vzdrževanja</t>
  </si>
  <si>
    <t>[let]</t>
  </si>
  <si>
    <t>[%]</t>
  </si>
  <si>
    <t>Kotel</t>
  </si>
  <si>
    <t>Strojne instalacije</t>
  </si>
  <si>
    <t>Gradbena dela</t>
  </si>
  <si>
    <t>Potrebna toplota za ogrevanje</t>
  </si>
  <si>
    <t>Toplotna moč</t>
  </si>
  <si>
    <t>Čas obratovanja pri polni moči</t>
  </si>
  <si>
    <t>[kW]</t>
  </si>
  <si>
    <t>[h/a]</t>
  </si>
  <si>
    <t>[kWh/a]</t>
  </si>
  <si>
    <t>Energent</t>
  </si>
  <si>
    <t>[€ / kg]</t>
  </si>
  <si>
    <t>[€ / liter]</t>
  </si>
  <si>
    <t>[€ / m³]</t>
  </si>
  <si>
    <t>[€ / Sm³]</t>
  </si>
  <si>
    <t>[€ / kWh]</t>
  </si>
  <si>
    <t>Cena na enoto</t>
  </si>
  <si>
    <t>[kg / a]</t>
  </si>
  <si>
    <t>[l / a]</t>
  </si>
  <si>
    <t>[m³ / a]</t>
  </si>
  <si>
    <t>[kWh]</t>
  </si>
  <si>
    <t>Predvidena letna poraba</t>
  </si>
  <si>
    <t>Enota</t>
  </si>
  <si>
    <t>ELKO obstoječe</t>
  </si>
  <si>
    <t>Stroški investicije</t>
  </si>
  <si>
    <t>[€]</t>
  </si>
  <si>
    <t>/</t>
  </si>
  <si>
    <t>Skupaj investicija</t>
  </si>
  <si>
    <t>Upravičeni stroški subvencije</t>
  </si>
  <si>
    <t>Subvencija</t>
  </si>
  <si>
    <t>Investicija minus subvencija</t>
  </si>
  <si>
    <t>Stroški kapitala</t>
  </si>
  <si>
    <t>[€/a]</t>
  </si>
  <si>
    <t>Skupaj stroški kapitala</t>
  </si>
  <si>
    <t>Stroški porabe</t>
  </si>
  <si>
    <t>Stroški energenta</t>
  </si>
  <si>
    <t>Stroški električne energije</t>
  </si>
  <si>
    <t>Skupaj stroški porabe</t>
  </si>
  <si>
    <t>Obratovalni stroški</t>
  </si>
  <si>
    <t>Vzdrževanje kotla</t>
  </si>
  <si>
    <t>Vzdrževanje strojnih instalacij</t>
  </si>
  <si>
    <t>Vzdrževanje stavbe</t>
  </si>
  <si>
    <t>Stroški osebja</t>
  </si>
  <si>
    <t>Dimnikarske usluge</t>
  </si>
  <si>
    <t>Pogodba o vzdrževanju</t>
  </si>
  <si>
    <t>Skupaj obratovalni stroški</t>
  </si>
  <si>
    <t>Drugi stroški</t>
  </si>
  <si>
    <t>Zavarovanje &amp; drugo</t>
  </si>
  <si>
    <t>Ostali stroški</t>
  </si>
  <si>
    <t>Skupaj stroški na leto</t>
  </si>
  <si>
    <t>Skupni stroški na MWh</t>
  </si>
  <si>
    <t>[€/MWh]</t>
  </si>
  <si>
    <t xml:space="preserve">Čas delovanja pri polni moči </t>
  </si>
  <si>
    <t>Potrebna končna energija</t>
  </si>
  <si>
    <t>Obstojece ELKO</t>
  </si>
  <si>
    <t>Stroški kotla</t>
  </si>
  <si>
    <t>Stroški strojnih instalacij</t>
  </si>
  <si>
    <t>Stroški gradbenih del</t>
  </si>
  <si>
    <t>Skupna investicja</t>
  </si>
  <si>
    <t>Anuiteta</t>
  </si>
  <si>
    <t>Strošek elektrike za delovanje kotla/TČ</t>
  </si>
  <si>
    <t>Stroški vzdrževanja</t>
  </si>
  <si>
    <t>Zavarovanje, drugi stroški</t>
  </si>
  <si>
    <t xml:space="preserve">Obratovalni stroški &amp; drugi stroški </t>
  </si>
  <si>
    <t>Skupni letni stroški</t>
  </si>
  <si>
    <t>Stroški na MWh</t>
  </si>
  <si>
    <t>Sk.letni str.brez str.kapitala</t>
  </si>
  <si>
    <t>Str.na MWh brez str.kapitala</t>
  </si>
  <si>
    <t>Letni prihranek stroškov</t>
  </si>
  <si>
    <t>Enostavna doba vračanja</t>
  </si>
  <si>
    <t>(let)</t>
  </si>
  <si>
    <t>Izračun stroškov energenta</t>
  </si>
  <si>
    <t>Stroški energenta vklučujejo DDV in strošek dostave.</t>
  </si>
  <si>
    <t xml:space="preserve">Čas obratovanja pri polni moči </t>
  </si>
  <si>
    <t>Obstoječe (ELKO)</t>
  </si>
  <si>
    <t>€/m³</t>
  </si>
  <si>
    <t>Cena energenta na leto</t>
  </si>
  <si>
    <t>€/a</t>
  </si>
  <si>
    <t>Cena energenta na MWh</t>
  </si>
  <si>
    <t>Cena energenta na GJ</t>
  </si>
  <si>
    <t>€/GJ</t>
  </si>
  <si>
    <t>Potrebna letna količina energenta</t>
  </si>
  <si>
    <t>[m³]</t>
  </si>
  <si>
    <t>[kg]</t>
  </si>
  <si>
    <t>Sezonski izkoristek kotla</t>
  </si>
  <si>
    <t>%</t>
  </si>
  <si>
    <t>kWh/a</t>
  </si>
  <si>
    <t>Vsebnost vode</t>
  </si>
  <si>
    <t>% ( mase)</t>
  </si>
  <si>
    <t>Vsebnost vodika</t>
  </si>
  <si>
    <t>% (mase, suhe snovi)</t>
  </si>
  <si>
    <t>Gostota nasutja suhe snovi</t>
  </si>
  <si>
    <t xml:space="preserve">kg/m³ </t>
  </si>
  <si>
    <t>Gostota nasutja sveže snovi</t>
  </si>
  <si>
    <t>Specifični volumen svežega meteriala</t>
  </si>
  <si>
    <t xml:space="preserve">m³/1000kg </t>
  </si>
  <si>
    <t>Zgorevalna toplota suhe snovi</t>
  </si>
  <si>
    <t xml:space="preserve">MJ/kg </t>
  </si>
  <si>
    <t xml:space="preserve">kWh/m³ </t>
  </si>
  <si>
    <t>Kurilnost sveže snovi</t>
  </si>
  <si>
    <t xml:space="preserve">kWh/kg </t>
  </si>
  <si>
    <t xml:space="preserve">MJ/m³ </t>
  </si>
  <si>
    <t>Emisije CO² (Ocena)</t>
  </si>
  <si>
    <t>kg/kWh</t>
  </si>
  <si>
    <t>kg/a</t>
  </si>
  <si>
    <t>Potrebna električna energija za toplotno črpalko</t>
  </si>
  <si>
    <t>Potrebna vložena energija</t>
  </si>
  <si>
    <t>kWh</t>
  </si>
  <si>
    <t>Potrebna primarna energija</t>
  </si>
  <si>
    <t>VHODNI PODATKI EKONOMSKE ANALIZE</t>
  </si>
  <si>
    <t xml:space="preserve"> MENJAVA DOTRAJANEGA KOTLA NA FOSILNA GORIVA Z NOVIM</t>
  </si>
  <si>
    <t xml:space="preserve"> Pri investicijsko-vzdrževalnih delih, kjer gre za zamenjavo starega dotrajanega kotla</t>
  </si>
  <si>
    <t xml:space="preserve"> na fosilna goriva z novim kotlom upoštevamo kot referenčne podatke obstoječe </t>
  </si>
  <si>
    <t xml:space="preserve"> stroške ogrevanja s starim kotlom na fosilna goriva na osnovi česar tudi računamo</t>
  </si>
  <si>
    <t xml:space="preserve"> letne prihranke pri stroških ogrevanja zaradi manjše rabe energentov oziroma uvedbe </t>
  </si>
  <si>
    <t xml:space="preserve"> cenejšega energenta.</t>
  </si>
  <si>
    <t xml:space="preserve"> NOVOGRADNJA Z VGRADNJO KOTLA (primerjava različnih enetrgentov) </t>
  </si>
  <si>
    <t xml:space="preserve"> Pri novogradnjah se izvede primerjava med možnimi variantami z različnimi energenti.</t>
  </si>
  <si>
    <t xml:space="preserve"> Kot refenčno se vzame najslabšo varianto in računa koristi pri ugodnejših. </t>
  </si>
  <si>
    <t xml:space="preserve"> Oziroma se računa ekonomske kazalnike glede na cene daljinske toplote. </t>
  </si>
  <si>
    <t xml:space="preserve"> NOVOGRADNJA Z VGRADNJO KOTLA V PRIMERU PRODAJE ENERGIJE </t>
  </si>
  <si>
    <t xml:space="preserve"> Pri računanjo ekonomskih kazalnikov se upopšteva predvideno ceno toplote za odjemalce</t>
  </si>
  <si>
    <t xml:space="preserve"> toplote iz sistema DOLB. </t>
  </si>
  <si>
    <t>VREDNOST INVESTICIJE S SUBVENCIJO:</t>
  </si>
  <si>
    <t>Obstoječ kotel (ELKO)</t>
  </si>
  <si>
    <t xml:space="preserve">LETNI STROŠKI OBRATOVANJA (s stroški kapitala) in prihranki glede na obstoječe stanje: </t>
  </si>
  <si>
    <t>anuitetna stopnja</t>
  </si>
  <si>
    <t>IZRAČUN   DINAMIČNIH KAZALNIKOV EKONOMSKE ANALIZE</t>
  </si>
  <si>
    <t xml:space="preserve">KOTEL NA POLENA / OBSTOJEČ KOTEL NA ELKO </t>
  </si>
  <si>
    <t>Doba vračanja v letih</t>
  </si>
  <si>
    <t>leta</t>
  </si>
  <si>
    <t>Sedanja vrednost stroškov</t>
  </si>
  <si>
    <t>EUR</t>
  </si>
  <si>
    <t>Neto sedanja vrednost</t>
  </si>
  <si>
    <t>Interna stopnja donosa</t>
  </si>
  <si>
    <t>Leta</t>
  </si>
  <si>
    <t>Investicija</t>
  </si>
  <si>
    <t>Letni obratovalni stroški</t>
  </si>
  <si>
    <t>Preostali stroški</t>
  </si>
  <si>
    <t>Prihranek v letnih obratovalnih stroških</t>
  </si>
  <si>
    <t xml:space="preserve">KOTEL NA SEKANCE / OBSTOJEČ KOTEL NA ELKO </t>
  </si>
  <si>
    <t>KOTEL NA PELETE / OBSTOJEČ KOTEL NA ELKO</t>
  </si>
  <si>
    <t>NOV KOTEL NA ELKO / OBSTOJEČ KOTEL NA ELKO</t>
  </si>
  <si>
    <t>KOTEL NA UNP / OBSTOJEČ KOTEL NA ELKO</t>
  </si>
  <si>
    <t>KOTEL NA ZP / OBSTOJEČ KOTEL NA ELKO</t>
  </si>
  <si>
    <t>TOPLOTNA ČRPALKA zrak-voda / OBSTOJEČ KOTEL NA ELKO</t>
  </si>
  <si>
    <t>Primerjava ekonomske upravičenosti</t>
  </si>
  <si>
    <t>SEKANCI</t>
  </si>
  <si>
    <t>PELETI</t>
  </si>
  <si>
    <t>stroški kapitala</t>
  </si>
  <si>
    <t>€</t>
  </si>
  <si>
    <t>stroški energenta</t>
  </si>
  <si>
    <t>ostali stroški</t>
  </si>
  <si>
    <t>Skupni letni stroški  (EUR)</t>
  </si>
  <si>
    <t>€/leto</t>
  </si>
  <si>
    <t>Stroški energije na MWh</t>
  </si>
  <si>
    <t>Doba vračanja (v letih)</t>
  </si>
  <si>
    <t>Sedanja vrednost stroškov (EUR)</t>
  </si>
  <si>
    <t>Neto sedanja vrednost (EUR)</t>
  </si>
  <si>
    <t>Interna stopnja donosa (%)</t>
  </si>
  <si>
    <t>TOPLOTNA ČRPALKA zemlja-voda / OBSTOJEČ KOTEL NA ELKO</t>
  </si>
  <si>
    <t>TOPLOTNA ČRPALKA voda-voda / OBSTOJEČ KOTEL NA ELKO</t>
  </si>
  <si>
    <t>NAROČNIK:</t>
  </si>
  <si>
    <t>naročnik</t>
  </si>
  <si>
    <t>naslov</t>
  </si>
  <si>
    <t>pošta</t>
  </si>
  <si>
    <t xml:space="preserve">INVESTITOR: </t>
  </si>
  <si>
    <t>lastnik stanovanjske hiše</t>
  </si>
  <si>
    <t xml:space="preserve">IZVAJALEC: </t>
  </si>
  <si>
    <t>podjetje</t>
  </si>
  <si>
    <t>IZRAČUN STROŠKOV IN KORISTI</t>
  </si>
  <si>
    <t>PRI ENERGETSKI SANACIJI</t>
  </si>
  <si>
    <t xml:space="preserve">OBSTOJEČEGA OGREVALNEGA SISTEMA </t>
  </si>
  <si>
    <t>ENOSTANOVANJSKE HIŠE</t>
  </si>
  <si>
    <t>ENO ali DVO STANOVANJSKE HIŠE</t>
  </si>
  <si>
    <t xml:space="preserve">ODGOVORNA OSEBA IZVAJALCA: </t>
  </si>
  <si>
    <t xml:space="preserve">direktor: </t>
  </si>
  <si>
    <t xml:space="preserve">Žig in podpis: </t>
  </si>
  <si>
    <t xml:space="preserve">Skrbnik projekta: </t>
  </si>
  <si>
    <t xml:space="preserve">Sodelavci na projektu: </t>
  </si>
  <si>
    <t>Kraj in datum:</t>
  </si>
  <si>
    <t>DDV</t>
  </si>
  <si>
    <t>Cena brez dajatev</t>
  </si>
  <si>
    <t>Omrežnina</t>
  </si>
  <si>
    <t>Prispevek za energetsko učinkovitost</t>
  </si>
  <si>
    <t>Prispevek OVE in SPTE</t>
  </si>
  <si>
    <t>Trošarina</t>
  </si>
  <si>
    <t>€/kWh</t>
  </si>
  <si>
    <t>Dajatev CO2</t>
  </si>
  <si>
    <t>Vključeno v ceno brez dajatev, ker je znesek omrežnin odvisen tako od rabe energije kot od priključnih moči in velikosti merilnih mest, kar pa je težko "splošno" določljivo…</t>
  </si>
  <si>
    <t>Prispevek za delovanje op. trga</t>
  </si>
  <si>
    <t>* predpostavljena raba 15.000 kWh/a - standarna porabniška skupina - SURS 2016</t>
  </si>
  <si>
    <t>Sekanci</t>
  </si>
  <si>
    <t>Peleti</t>
  </si>
  <si>
    <t>Kotel na polena</t>
  </si>
  <si>
    <t>Investicija [€]</t>
  </si>
  <si>
    <t>15 kW [1/0]</t>
  </si>
  <si>
    <t>25 kW [1/0]</t>
  </si>
  <si>
    <t>Kotel na sekance</t>
  </si>
  <si>
    <t>Kotel na pelete</t>
  </si>
  <si>
    <t>Kotel na ELKO</t>
  </si>
  <si>
    <t>Kotel na plin (UNP, ZP)</t>
  </si>
  <si>
    <t>6 kW [1/0]</t>
  </si>
  <si>
    <t>TČ (voda, zemlja)/voda</t>
  </si>
  <si>
    <t>Instalacije v strojnici</t>
  </si>
  <si>
    <t>-ena ogrevalna veja [1/0]</t>
  </si>
  <si>
    <t>-več ogrevalnih vej [1/0]</t>
  </si>
  <si>
    <t>Skladišče goriva</t>
  </si>
  <si>
    <t>Geosonda/vrtina</t>
  </si>
  <si>
    <t>-geosonda 6kW [1/0]</t>
  </si>
  <si>
    <t>-geosonda 15kW [1/0]</t>
  </si>
  <si>
    <t>-geosonda 25kW [1/0]</t>
  </si>
  <si>
    <t>-zemeljski kolektor 6kW [1/0]</t>
  </si>
  <si>
    <t>-zemeljski kolektor 15kW [1/0]</t>
  </si>
  <si>
    <t>-zemeljski kolektor 25kW [1/0]</t>
  </si>
  <si>
    <t>-črpališče podtalnice H=1m [1/0]</t>
  </si>
  <si>
    <t>-črpališče podtalnice H=20m [1/0]</t>
  </si>
  <si>
    <t>Dimnik (10m)</t>
  </si>
  <si>
    <t>-izgradnja novega [1/0]</t>
  </si>
  <si>
    <t>-nov prostor (lopa) [1/0]</t>
  </si>
  <si>
    <t>-vreča peleti, sesalni sistem [1/0]</t>
  </si>
  <si>
    <t>-predelava obstoječi prostor [1/0]</t>
  </si>
  <si>
    <t>-nov priključek ZP [1/0]</t>
  </si>
  <si>
    <t>Faktor zahtevnosti izvedbe (0,9 do 1,3)</t>
  </si>
  <si>
    <t>-cisterna ELKO [1/0]</t>
  </si>
  <si>
    <t>-sekanci polž, zajem [1/0]</t>
  </si>
  <si>
    <t>-sanacija obstoječega inox [1/0]</t>
  </si>
  <si>
    <t>-sanacija obstoječega koaksialni [1/0]</t>
  </si>
  <si>
    <t>subvencija*</t>
  </si>
  <si>
    <t>*subvencija EKOSKLAD 54SUB-OB17</t>
  </si>
  <si>
    <t>V tabeli se vpiše 1/0 glede na izbiro posameznih postavk investicije.</t>
  </si>
  <si>
    <t>40 kW [1/0]</t>
  </si>
  <si>
    <t>-zemeljski kolektor 40kW [1/0]</t>
  </si>
  <si>
    <t>-geosonda 40kW [1/0]</t>
  </si>
  <si>
    <t>Projekt GRETA je sofinanciran s strani Evropskega regionalnega razvojnega sklada preko programa Interreg Alpine Space.</t>
  </si>
  <si>
    <t>IZRAČUN DINAMIČNIH KAZALNIKOV EKONOMSKE ANALIZE</t>
  </si>
  <si>
    <t>[l]</t>
  </si>
  <si>
    <t>Vzemimo primer:</t>
  </si>
  <si>
    <t xml:space="preserve">V stavbi imamo obstoječ star kotel na kurilno olje (ELKO) in za ogrevanje hiše potrebujemo 20 MWh na leto, za kar pokurimo okoli 2900 litrov kurilnega olja. Zanima nas, katera nova tehnologija ogrevanja bi pomenila najnižje letne stroške. 
Za pravilen izračun je v Excel tabeli potrebno najprej  izpolniti delovni list »vhodni podatki« , kjer se spreminja le rumena polja. Večina podatkov je že ustrezno prednastavljenih glede na tipične sedanje vrednosti in jih ni potrebno spreminjati (npr. anuitetni faktor in deleži stroškov vzdrževanja), glavno je, da vnesemo količine sedanje / bodoče rabe energije. V našem primeru pod potrebno energijo za ogrevanje objekta vpišemo 20 MWh na leto. Vrednost končne rabe v MWh/leto predstavlja potrebno toploto skupaj s presežkom proizvedene energije zaradi slabšega izkoristka kotla. Sezonski izkoristek je ocenjen glede na starost in stanje kotla in je že izkustveno prednastavljen glede na nov kotel (90 %) oz. star kotel (70 %). Nazivno moč kurilne naprave oz. kotla v kW lahko pridobimo iz specifikacije izdane s strani proizvajalca naprave. 
Cene energentov so že ustrezno vnesene glede na sedanje stanje, možno pa jih je spreminjati. Prikazani so tudi deleži, ki sestavljajo končno ceno energentov, brez in z dajatvami (DDV, dajatev CO2, prispevek za energetsko učinkovitost, prispevek OVE in SPTE, prispevek za delovanje operaterja trga in trošarine. Največ dajatev je v ceni kurilnega olja, sledita utekočinjen naftni plin in zemeljski plin, pri ostalih je ta del nižji. Sestavljeni letni stroški energentov so tudi grafično prikazani v zavihku »Str. Energenta-sestavljeni«.
V spodnji tabeli z vnosom „1“ ali „0“ izbiramo med postavkami za izračun cene investicije. Glede na potrebe objekta lahko izbiramo med okvirnimi močmi ogrevanja med 6 in 40 kW. Poleg cene kotla oz. toplotne črpalke je potrebno upoštevati tudi stroške inštalacije v strojnici, obnove dimnika, skladišča goriva in izvedbe vrtine, seveda le tiste, ki pri izbrani tehnologiji pridejo v poštev. V kolikor bomo torej uporabljali kotel na sekance, ne bomo upoštevali stroškov izvedbe vrtine in obratno, pri uporabi toplotnih črpalk ne bomo upoštevali stroškov obnove dimnika in skladišča goriva.
V zavihku »stroški investicije« preverimo izračunane postavke in izračunane letne stroške, ki naj bi pri obstoječi tehnologiji znašali okrog 2.700 € letno. Skoraj vse ostale tehnologije predstavljajo prihranek na letni ravni, z izjemo ogrevanja s pečjo na utekočinjen naftni plin. Kot najcenejša tehnologija z letnim stroškom okrog 1.200 € se izkaže toplotna črpalka voda-voda, a je pogoj za učinkovito rabo ustrezen vodonosnik pod našim objektom. Primerjava letnih stroškov ogrevanja je grafično prikazana pod zavihkom »str. ogrev. na leto«, viden je tudi delež stroškov glede na kapital, porabo ter obratovanje in druge stroške. Zavihek »Rezultati« nam podaja letni prihranek, v primeru da se odločimo za drugo tehnologijo </t>
  </si>
  <si>
    <t xml:space="preserve">ogrevanja in enostavno dobo vračanja, t.j. obdobje, v katerem se nam strošek investicije povrne.
V zavihku „Izračun energentov“ se izpišejo količine potrebnih energentov za delovanje ogrevalnega sistema. Prednastavljene so tipične vrednosti glede na stanje kot je danes. V kolikor imamo natančnejše podatke lahko popravimo vrednosti izkoristkov kurilnih naprav, vsebnosti vode (vlažnost goriva) pri biomasi in zgorevalne toplote. Zanimiva je primerjava med porabo različnih količin energentov. Če danes pokurimo 2900 l kurilnega olja, bi za isto energijo pokurili 15 m3 bukovih polen, 22,4 m3 polen iglavcev, 33,2 m3 sekancev, 7,1 m3 peletov, 2200 l kurilnega olja, 3050 l naftnega plina, 1950 m3 zemeljskega plina, 5,3 MWh elektrike za toplotno črpalko zrak voda, 4,8 MWh elektrike za toplotno črpalko zemlja-voda in 4,3 MWh elektrike za toplotno črpalko voda-voda. Primerjava energentov je prikazana tudi v grafikonu pod zavihkom »volumen en.«.
Izračuni se prenašajo v zavihek „Rezultati“, kjer lahko razberemo vse letne stroške in dobo vračanja investicije. Rezultate analiz si lahko pogledamo v grafih, v katerih so razvidne primerjave med različnimi energenti in tehnologijami ogrevanja. Urejeno so prikazani skupni letni stroški ogrevanja, skupni stroški na MWh porabljene toplote, stroški na enoto energenta, sestavljeni letni strošek energenta, masa in volumen letne količine energenta, ocena letnih emisij CO2 in primarna energija. Za vse možne načine ogrevanja lahko izračunamo dinamične kazalnike ekonomske analize.
Delovni list »CO2« prikazuje primerjavo ocene letnih emisij CO2 med različnimi energenti. Zamenjava starega kotla na kurilno olje z drugimi energenti za ogrevanje nima le ekonomskih, ampak tudi okoljske prednosti, saj se emisije CO2 v vseh primerih zmanjšajo. V zavihku »ekonomska primerjava« najdemo  zanimiv nabor ekonomskih kazalnikov glede na različne tipe energentov.
Orodje omogoča izračune tudi za sisteme drugih moči, kot so že vneseni podatki, vendar moramo uporabiti ustrezno znanje, da dobimo pravilne rezultate.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</si>
</sst>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 &quot;€&quot;"/>
    <numFmt numFmtId="166" formatCode="0.0"/>
    <numFmt numFmtId="167" formatCode="0.000"/>
    <numFmt numFmtId="168" formatCode="#,##0.000"/>
    <numFmt numFmtId="169" formatCode="0.00000"/>
  </numFmts>
  <fonts count="78" x14ac:knownFonts="1">
    <font>
      <sz val="10"/>
      <name val="Arial"/>
      <family val="2"/>
      <charset val="238"/>
    </font>
    <font>
      <sz val="11"/>
      <name val="Calibri"/>
      <family val="2"/>
      <charset val="238"/>
    </font>
    <font>
      <sz val="10"/>
      <name val="Arial"/>
      <family val="2"/>
      <charset val="238"/>
    </font>
    <font>
      <b/>
      <sz val="14"/>
      <color indexed="18"/>
      <name val="Arial"/>
      <family val="2"/>
    </font>
    <font>
      <b/>
      <sz val="10"/>
      <name val="Arial"/>
      <family val="2"/>
      <charset val="238"/>
    </font>
    <font>
      <sz val="8"/>
      <name val="Arial Narrow"/>
      <family val="2"/>
    </font>
    <font>
      <b/>
      <sz val="14"/>
      <name val="Arial"/>
      <family val="2"/>
    </font>
    <font>
      <b/>
      <sz val="14"/>
      <color indexed="17"/>
      <name val="Arial"/>
      <family val="2"/>
    </font>
    <font>
      <b/>
      <sz val="14"/>
      <color indexed="52"/>
      <name val="Arial"/>
      <family val="2"/>
    </font>
    <font>
      <sz val="14"/>
      <name val="Arial"/>
      <family val="2"/>
    </font>
    <font>
      <sz val="14"/>
      <color indexed="52"/>
      <name val="Arial"/>
      <family val="2"/>
    </font>
    <font>
      <sz val="9"/>
      <name val="Arial"/>
      <family val="2"/>
    </font>
    <font>
      <b/>
      <u/>
      <sz val="10"/>
      <name val="Arial"/>
      <family val="2"/>
    </font>
    <font>
      <b/>
      <sz val="10"/>
      <color indexed="10"/>
      <name val="Arial"/>
      <family val="2"/>
    </font>
    <font>
      <b/>
      <u/>
      <sz val="10"/>
      <name val="Arial"/>
      <family val="2"/>
      <charset val="238"/>
    </font>
    <font>
      <u/>
      <sz val="10"/>
      <color indexed="12"/>
      <name val="Arial"/>
      <family val="2"/>
      <charset val="238"/>
    </font>
    <font>
      <sz val="8"/>
      <color indexed="62"/>
      <name val="Arial"/>
      <family val="2"/>
    </font>
    <font>
      <i/>
      <sz val="14"/>
      <color indexed="52"/>
      <name val="Arial"/>
      <family val="2"/>
    </font>
    <font>
      <b/>
      <sz val="9"/>
      <name val="Arial Narrow"/>
      <family val="2"/>
    </font>
    <font>
      <b/>
      <sz val="9"/>
      <color indexed="52"/>
      <name val="Arial Narrow"/>
      <family val="2"/>
    </font>
    <font>
      <b/>
      <i/>
      <sz val="9"/>
      <color indexed="52"/>
      <name val="Arial Narrow"/>
      <family val="2"/>
    </font>
    <font>
      <sz val="9"/>
      <name val="Arial Narrow"/>
      <family val="2"/>
    </font>
    <font>
      <sz val="8"/>
      <name val="arial"/>
      <family val="2"/>
      <charset val="238"/>
    </font>
    <font>
      <b/>
      <sz val="8"/>
      <name val="Arial"/>
      <family val="2"/>
    </font>
    <font>
      <b/>
      <sz val="10"/>
      <color indexed="17"/>
      <name val="Arial"/>
      <family val="2"/>
    </font>
    <font>
      <b/>
      <sz val="10"/>
      <color indexed="52"/>
      <name val="Arial"/>
      <family val="2"/>
    </font>
    <font>
      <i/>
      <sz val="10"/>
      <name val="Arial"/>
      <family val="2"/>
      <charset val="238"/>
    </font>
    <font>
      <i/>
      <sz val="9"/>
      <name val="Arial"/>
      <family val="2"/>
    </font>
    <font>
      <b/>
      <i/>
      <sz val="10"/>
      <name val="Arial"/>
      <family val="2"/>
      <charset val="238"/>
    </font>
    <font>
      <b/>
      <sz val="11"/>
      <name val="Arial"/>
      <family val="2"/>
    </font>
    <font>
      <sz val="11"/>
      <name val="Arial"/>
      <family val="2"/>
    </font>
    <font>
      <b/>
      <i/>
      <sz val="9"/>
      <color indexed="52"/>
      <name val="Arial"/>
      <family val="2"/>
    </font>
    <font>
      <sz val="8"/>
      <color indexed="10"/>
      <name val="Arial Narrow"/>
      <family val="2"/>
    </font>
    <font>
      <b/>
      <i/>
      <sz val="9"/>
      <name val="Arial"/>
      <family val="2"/>
    </font>
    <font>
      <b/>
      <sz val="12"/>
      <name val="Arial"/>
      <family val="2"/>
    </font>
    <font>
      <b/>
      <i/>
      <sz val="14"/>
      <name val="Arial"/>
      <family val="2"/>
    </font>
    <font>
      <sz val="14"/>
      <name val="Arial Narrow"/>
      <family val="2"/>
    </font>
    <font>
      <i/>
      <sz val="14"/>
      <name val="Arial Narrow"/>
      <family val="2"/>
    </font>
    <font>
      <sz val="10"/>
      <name val="Arial Narrow"/>
      <family val="2"/>
    </font>
    <font>
      <b/>
      <sz val="12"/>
      <color indexed="17"/>
      <name val="Arial"/>
      <family val="2"/>
    </font>
    <font>
      <sz val="12"/>
      <color indexed="17"/>
      <name val="Arial"/>
      <family val="2"/>
    </font>
    <font>
      <b/>
      <sz val="12"/>
      <color indexed="15"/>
      <name val="Arial"/>
      <family val="2"/>
    </font>
    <font>
      <b/>
      <sz val="12"/>
      <color indexed="21"/>
      <name val="Arial"/>
      <family val="2"/>
    </font>
    <font>
      <sz val="8"/>
      <color indexed="17"/>
      <name val="Arial"/>
      <family val="2"/>
    </font>
    <font>
      <b/>
      <sz val="10"/>
      <color indexed="15"/>
      <name val="Arial"/>
      <family val="2"/>
    </font>
    <font>
      <b/>
      <sz val="9"/>
      <name val="Arial"/>
      <family val="2"/>
    </font>
    <font>
      <sz val="9"/>
      <color indexed="8"/>
      <name val="Arial"/>
      <family val="2"/>
    </font>
    <font>
      <sz val="12"/>
      <name val="Arial"/>
      <family val="2"/>
    </font>
    <font>
      <sz val="10"/>
      <color indexed="15"/>
      <name val="Arial"/>
      <family val="2"/>
    </font>
    <font>
      <sz val="10"/>
      <color indexed="21"/>
      <name val="Arial"/>
      <family val="2"/>
    </font>
    <font>
      <sz val="12"/>
      <color indexed="15"/>
      <name val="Arial"/>
      <family val="2"/>
    </font>
    <font>
      <sz val="12"/>
      <color indexed="21"/>
      <name val="Arial"/>
      <family val="2"/>
    </font>
    <font>
      <b/>
      <sz val="10"/>
      <color indexed="21"/>
      <name val="Arial"/>
      <family val="2"/>
    </font>
    <font>
      <b/>
      <sz val="10"/>
      <color indexed="8"/>
      <name val="Arial"/>
      <family val="2"/>
    </font>
    <font>
      <sz val="10"/>
      <color indexed="8"/>
      <name val="Arial"/>
      <family val="2"/>
    </font>
    <font>
      <b/>
      <sz val="10"/>
      <color indexed="12"/>
      <name val="Arial"/>
      <family val="2"/>
    </font>
    <font>
      <sz val="9"/>
      <color indexed="17"/>
      <name val="Arial"/>
      <family val="2"/>
    </font>
    <font>
      <sz val="8"/>
      <color indexed="21"/>
      <name val="Arial"/>
      <family val="2"/>
    </font>
    <font>
      <sz val="8"/>
      <name val="Arial"/>
      <family val="2"/>
    </font>
    <font>
      <b/>
      <sz val="8"/>
      <color indexed="17"/>
      <name val="Arial"/>
      <family val="2"/>
    </font>
    <font>
      <sz val="8"/>
      <color indexed="15"/>
      <name val="Arial"/>
      <family val="2"/>
    </font>
    <font>
      <sz val="10"/>
      <color indexed="18"/>
      <name val="Arial"/>
      <family val="2"/>
      <charset val="238"/>
    </font>
    <font>
      <b/>
      <sz val="10"/>
      <color indexed="18"/>
      <name val="Arial"/>
      <family val="2"/>
      <charset val="238"/>
    </font>
    <font>
      <sz val="14"/>
      <color indexed="18"/>
      <name val="Arial"/>
      <family val="2"/>
    </font>
    <font>
      <sz val="10"/>
      <color indexed="12"/>
      <name val="Arial"/>
      <family val="2"/>
      <charset val="238"/>
    </font>
    <font>
      <sz val="12"/>
      <name val="Arial"/>
      <family val="2"/>
      <charset val="238"/>
    </font>
    <font>
      <b/>
      <sz val="12"/>
      <name val="Arial"/>
      <family val="2"/>
      <charset val="238"/>
    </font>
    <font>
      <sz val="12"/>
      <color rgb="FF000000"/>
      <name val="Arial"/>
      <family val="2"/>
      <charset val="238"/>
    </font>
    <font>
      <u/>
      <sz val="12"/>
      <color indexed="12"/>
      <name val="Arial"/>
      <family val="2"/>
      <charset val="238"/>
    </font>
    <font>
      <u/>
      <sz val="10"/>
      <color indexed="12"/>
      <name val="Arial"/>
      <family val="2"/>
    </font>
    <font>
      <b/>
      <sz val="20"/>
      <name val="Arial"/>
      <family val="2"/>
      <charset val="238"/>
    </font>
    <font>
      <sz val="20"/>
      <name val="Arial"/>
      <family val="2"/>
      <charset val="238"/>
    </font>
    <font>
      <b/>
      <sz val="24"/>
      <name val="Arial"/>
      <family val="2"/>
    </font>
    <font>
      <sz val="16"/>
      <name val="Arial"/>
      <family val="2"/>
    </font>
    <font>
      <sz val="10"/>
      <name val="Arial"/>
      <family val="2"/>
    </font>
    <font>
      <sz val="9"/>
      <color indexed="81"/>
      <name val="Segoe UI"/>
      <family val="2"/>
      <charset val="238"/>
    </font>
    <font>
      <b/>
      <sz val="9"/>
      <color indexed="81"/>
      <name val="Segoe UI"/>
      <family val="2"/>
      <charset val="238"/>
    </font>
    <font>
      <b/>
      <i/>
      <sz val="8"/>
      <name val="Arial"/>
      <family val="2"/>
      <charset val="238"/>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11"/>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99"/>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9" fontId="2" fillId="0" borderId="0" applyFont="0" applyFill="0" applyBorder="0" applyAlignment="0" applyProtection="0"/>
  </cellStyleXfs>
  <cellXfs count="806">
    <xf numFmtId="0" fontId="0" fillId="0" borderId="0" xfId="0"/>
    <xf numFmtId="0" fontId="3" fillId="0" borderId="0" xfId="0" applyFont="1"/>
    <xf numFmtId="0" fontId="0" fillId="0" borderId="1" xfId="0" applyBorder="1"/>
    <xf numFmtId="0" fontId="4" fillId="0" borderId="0" xfId="0" applyFont="1"/>
    <xf numFmtId="0" fontId="2" fillId="0" borderId="0" xfId="0" applyFont="1" applyFill="1"/>
    <xf numFmtId="0" fontId="4" fillId="2" borderId="0" xfId="0" applyFont="1" applyFill="1"/>
    <xf numFmtId="0" fontId="2" fillId="0" borderId="0" xfId="0" applyFont="1"/>
    <xf numFmtId="0" fontId="0" fillId="0" borderId="0" xfId="0" applyFill="1"/>
    <xf numFmtId="0" fontId="4" fillId="0" borderId="0" xfId="0" applyFont="1" applyFill="1"/>
    <xf numFmtId="0" fontId="0" fillId="2" borderId="0" xfId="0" applyFill="1"/>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Protection="1"/>
    <xf numFmtId="0" fontId="8" fillId="0" borderId="0" xfId="0" applyFont="1" applyFill="1" applyProtection="1"/>
    <xf numFmtId="0" fontId="3" fillId="0" borderId="0" xfId="0" applyFont="1" applyAlignment="1" applyProtection="1">
      <alignment horizontal="left"/>
    </xf>
    <xf numFmtId="0" fontId="9" fillId="0" borderId="0" xfId="0" applyFont="1" applyAlignment="1" applyProtection="1">
      <alignment horizontal="center"/>
    </xf>
    <xf numFmtId="0" fontId="9" fillId="0" borderId="0" xfId="0" applyFont="1" applyProtection="1"/>
    <xf numFmtId="0" fontId="10" fillId="0" borderId="0" xfId="0" applyFont="1" applyFill="1" applyProtection="1"/>
    <xf numFmtId="0" fontId="11" fillId="0" borderId="0" xfId="0" applyFont="1" applyAlignment="1" applyProtection="1">
      <alignment horizontal="left"/>
    </xf>
    <xf numFmtId="0" fontId="11" fillId="0" borderId="0" xfId="0" applyFont="1" applyBorder="1" applyAlignment="1" applyProtection="1">
      <alignment horizontal="left"/>
    </xf>
    <xf numFmtId="0" fontId="0" fillId="0" borderId="0" xfId="0" applyBorder="1"/>
    <xf numFmtId="0" fontId="12" fillId="0" borderId="0" xfId="0" applyFont="1"/>
    <xf numFmtId="10" fontId="0" fillId="3" borderId="2" xfId="0" applyNumberFormat="1" applyFill="1" applyBorder="1" applyAlignment="1">
      <alignment horizontal="center"/>
    </xf>
    <xf numFmtId="0" fontId="4" fillId="0" borderId="2" xfId="0" applyFont="1" applyBorder="1"/>
    <xf numFmtId="0" fontId="0" fillId="0" borderId="2" xfId="0" applyBorder="1"/>
    <xf numFmtId="0" fontId="2" fillId="0" borderId="2" xfId="0" applyFont="1" applyBorder="1" applyAlignment="1">
      <alignment horizontal="center"/>
    </xf>
    <xf numFmtId="0" fontId="2" fillId="0" borderId="0" xfId="0" applyFont="1" applyBorder="1" applyAlignment="1">
      <alignment horizontal="center"/>
    </xf>
    <xf numFmtId="1" fontId="0" fillId="3" borderId="2" xfId="0" applyNumberFormat="1" applyFill="1" applyBorder="1" applyAlignment="1">
      <alignment horizontal="center"/>
    </xf>
    <xf numFmtId="2" fontId="0" fillId="3" borderId="2" xfId="0" applyNumberFormat="1" applyFill="1" applyBorder="1" applyAlignment="1">
      <alignment horizontal="center"/>
    </xf>
    <xf numFmtId="2" fontId="0" fillId="4" borderId="0" xfId="0" applyNumberFormat="1" applyFill="1" applyBorder="1" applyAlignment="1">
      <alignment horizontal="center"/>
    </xf>
    <xf numFmtId="0" fontId="2" fillId="0" borderId="2" xfId="0" applyFont="1" applyBorder="1" applyAlignment="1">
      <alignment horizontal="left"/>
    </xf>
    <xf numFmtId="0" fontId="0" fillId="0" borderId="2" xfId="0" applyBorder="1" applyAlignment="1">
      <alignment horizontal="left"/>
    </xf>
    <xf numFmtId="3" fontId="4" fillId="3" borderId="2" xfId="0" applyNumberFormat="1" applyFont="1" applyFill="1" applyBorder="1" applyAlignment="1">
      <alignment horizontal="center"/>
    </xf>
    <xf numFmtId="0" fontId="4" fillId="0" borderId="2" xfId="0" applyFont="1" applyBorder="1" applyAlignment="1">
      <alignment horizontal="center"/>
    </xf>
    <xf numFmtId="9" fontId="13" fillId="3" borderId="2" xfId="0" applyNumberFormat="1" applyFont="1" applyFill="1" applyBorder="1" applyAlignment="1">
      <alignment horizontal="center"/>
    </xf>
    <xf numFmtId="0" fontId="4" fillId="0" borderId="0" xfId="0" applyFont="1" applyAlignment="1">
      <alignment horizontal="center"/>
    </xf>
    <xf numFmtId="2" fontId="13" fillId="3" borderId="0" xfId="0" applyNumberFormat="1"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4" borderId="0" xfId="0" applyFill="1" applyBorder="1"/>
    <xf numFmtId="164" fontId="4" fillId="3" borderId="2" xfId="0" applyNumberFormat="1" applyFont="1" applyFill="1" applyBorder="1" applyAlignment="1">
      <alignment horizontal="center"/>
    </xf>
    <xf numFmtId="0" fontId="14" fillId="0" borderId="0" xfId="0" applyFont="1"/>
    <xf numFmtId="164" fontId="4" fillId="0" borderId="0" xfId="0" applyNumberFormat="1" applyFont="1" applyFill="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0" fillId="0" borderId="5" xfId="0" applyBorder="1" applyAlignment="1">
      <alignment horizontal="center" vertical="center"/>
    </xf>
    <xf numFmtId="0" fontId="2" fillId="4" borderId="0" xfId="0" applyFont="1" applyFill="1" applyBorder="1" applyAlignment="1">
      <alignment horizontal="center"/>
    </xf>
    <xf numFmtId="9"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2" fillId="0" borderId="2" xfId="0" applyFont="1" applyBorder="1" applyAlignment="1">
      <alignment wrapText="1"/>
    </xf>
    <xf numFmtId="0" fontId="2" fillId="0" borderId="2" xfId="0" applyFont="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2" fillId="3" borderId="2" xfId="0" applyFont="1" applyFill="1" applyBorder="1" applyAlignment="1">
      <alignment horizontal="center"/>
    </xf>
    <xf numFmtId="2" fontId="2" fillId="3" borderId="2"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0" fillId="0" borderId="0" xfId="0" applyFill="1" applyBorder="1"/>
    <xf numFmtId="0" fontId="16" fillId="0" borderId="0" xfId="0" applyFont="1" applyFill="1"/>
    <xf numFmtId="0" fontId="16" fillId="0" borderId="0" xfId="0" applyFont="1"/>
    <xf numFmtId="0" fontId="16" fillId="0" borderId="0" xfId="0" applyFont="1" applyAlignment="1" applyProtection="1">
      <alignment horizontal="left"/>
    </xf>
    <xf numFmtId="0" fontId="16" fillId="0" borderId="0" xfId="0" applyFont="1" applyProtection="1"/>
    <xf numFmtId="0" fontId="2" fillId="0" borderId="0" xfId="0" applyFont="1" applyAlignment="1" applyProtection="1">
      <alignment horizontal="left"/>
    </xf>
    <xf numFmtId="0" fontId="11" fillId="0" borderId="0" xfId="0" applyFont="1" applyProtection="1"/>
    <xf numFmtId="0" fontId="4" fillId="0" borderId="2" xfId="0" applyFont="1" applyBorder="1" applyAlignment="1">
      <alignment horizontal="center" wrapText="1"/>
    </xf>
    <xf numFmtId="0" fontId="2" fillId="0" borderId="2" xfId="0" applyFont="1" applyBorder="1"/>
    <xf numFmtId="165" fontId="4" fillId="2" borderId="2" xfId="0" applyNumberFormat="1" applyFont="1" applyFill="1" applyBorder="1"/>
    <xf numFmtId="165" fontId="4" fillId="5" borderId="0" xfId="0" applyNumberFormat="1" applyFont="1" applyFill="1" applyBorder="1"/>
    <xf numFmtId="0" fontId="2" fillId="0" borderId="0" xfId="0" applyFont="1" applyBorder="1"/>
    <xf numFmtId="0" fontId="2" fillId="0" borderId="6" xfId="0" applyFont="1" applyBorder="1"/>
    <xf numFmtId="0" fontId="0" fillId="0" borderId="6" xfId="0" applyBorder="1"/>
    <xf numFmtId="165" fontId="0" fillId="0" borderId="6" xfId="0" applyNumberFormat="1" applyBorder="1" applyAlignment="1">
      <alignment horizontal="center"/>
    </xf>
    <xf numFmtId="0" fontId="2" fillId="0" borderId="6" xfId="0" applyFont="1" applyBorder="1" applyAlignment="1">
      <alignment horizontal="center"/>
    </xf>
    <xf numFmtId="165" fontId="0" fillId="0" borderId="0" xfId="0" applyNumberFormat="1" applyBorder="1" applyAlignment="1">
      <alignment horizontal="center"/>
    </xf>
    <xf numFmtId="0" fontId="0" fillId="0" borderId="0" xfId="0" applyBorder="1" applyAlignment="1">
      <alignment horizontal="center"/>
    </xf>
    <xf numFmtId="4" fontId="0" fillId="0" borderId="0" xfId="0" applyNumberFormat="1" applyBorder="1" applyAlignment="1">
      <alignment horizontal="center"/>
    </xf>
    <xf numFmtId="10" fontId="0" fillId="0" borderId="0" xfId="0" applyNumberFormat="1" applyBorder="1" applyAlignment="1">
      <alignment horizontal="center"/>
    </xf>
    <xf numFmtId="165" fontId="2" fillId="3" borderId="7" xfId="0" applyNumberFormat="1" applyFont="1" applyFill="1" applyBorder="1"/>
    <xf numFmtId="0" fontId="9" fillId="0" borderId="0" xfId="0" applyFont="1" applyBorder="1" applyProtection="1"/>
    <xf numFmtId="0" fontId="17" fillId="0" borderId="0" xfId="0" applyFont="1" applyFill="1" applyProtection="1"/>
    <xf numFmtId="0" fontId="18" fillId="0" borderId="0" xfId="0" applyFont="1" applyBorder="1" applyProtection="1"/>
    <xf numFmtId="0" fontId="18" fillId="0" borderId="0" xfId="0" applyFont="1" applyProtection="1"/>
    <xf numFmtId="0" fontId="19" fillId="0" borderId="0" xfId="0" applyFont="1" applyFill="1" applyProtection="1"/>
    <xf numFmtId="0" fontId="20" fillId="0" borderId="0" xfId="0" applyFont="1" applyFill="1" applyProtection="1"/>
    <xf numFmtId="0" fontId="18" fillId="0" borderId="6" xfId="0" applyFont="1" applyBorder="1" applyProtection="1"/>
    <xf numFmtId="0" fontId="21" fillId="0" borderId="6" xfId="0" applyFont="1" applyBorder="1" applyAlignment="1" applyProtection="1">
      <alignment horizontal="left"/>
    </xf>
    <xf numFmtId="0" fontId="18" fillId="0" borderId="6" xfId="0" applyFont="1" applyBorder="1" applyAlignment="1" applyProtection="1">
      <alignment horizontal="center"/>
    </xf>
    <xf numFmtId="0" fontId="19" fillId="0" borderId="6" xfId="0" applyFont="1" applyFill="1" applyBorder="1" applyProtection="1"/>
    <xf numFmtId="0" fontId="2" fillId="0" borderId="0" xfId="0" applyFont="1" applyBorder="1" applyAlignment="1" applyProtection="1">
      <alignment vertical="center"/>
    </xf>
    <xf numFmtId="0" fontId="4" fillId="0" borderId="0" xfId="0" applyFont="1" applyAlignment="1" applyProtection="1">
      <alignment horizontal="left" vertical="center"/>
    </xf>
    <xf numFmtId="10" fontId="4" fillId="6" borderId="0" xfId="0" applyNumberFormat="1" applyFont="1" applyFill="1" applyAlignment="1" applyProtection="1">
      <alignment horizontal="center" vertical="center"/>
      <protection locked="0"/>
    </xf>
    <xf numFmtId="0" fontId="22" fillId="0" borderId="0" xfId="0" applyFont="1" applyAlignment="1" applyProtection="1">
      <alignment vertical="center"/>
    </xf>
    <xf numFmtId="0" fontId="2" fillId="0" borderId="0" xfId="0" applyFont="1" applyAlignment="1" applyProtection="1">
      <alignment vertical="center"/>
    </xf>
    <xf numFmtId="4" fontId="2" fillId="0" borderId="0" xfId="0" applyNumberFormat="1" applyFont="1" applyFill="1" applyBorder="1" applyAlignment="1" applyProtection="1">
      <alignment vertical="center"/>
    </xf>
    <xf numFmtId="0" fontId="2" fillId="0" borderId="0" xfId="0" applyFont="1" applyFill="1" applyBorder="1" applyProtection="1"/>
    <xf numFmtId="0" fontId="4" fillId="0" borderId="0" xfId="0" applyFont="1" applyFill="1" applyAlignment="1" applyProtection="1">
      <alignment horizontal="left" vertical="center"/>
    </xf>
    <xf numFmtId="166" fontId="2" fillId="0" borderId="0" xfId="0" applyNumberFormat="1" applyFont="1" applyFill="1" applyAlignment="1" applyProtection="1">
      <alignment horizontal="left" vertical="center"/>
    </xf>
    <xf numFmtId="0" fontId="2" fillId="0" borderId="0" xfId="0" applyFont="1" applyFill="1" applyAlignment="1" applyProtection="1">
      <alignment vertical="center"/>
    </xf>
    <xf numFmtId="4" fontId="2" fillId="0" borderId="0" xfId="0" applyNumberFormat="1" applyFont="1" applyFill="1" applyBorder="1" applyProtection="1"/>
    <xf numFmtId="0" fontId="2" fillId="0" borderId="0" xfId="0" applyFont="1" applyFill="1" applyProtection="1"/>
    <xf numFmtId="0" fontId="2" fillId="0" borderId="6" xfId="0" applyFont="1" applyBorder="1" applyProtection="1"/>
    <xf numFmtId="0" fontId="2" fillId="0" borderId="6" xfId="0" applyFont="1" applyBorder="1" applyAlignment="1" applyProtection="1">
      <alignment horizontal="left" vertical="center"/>
    </xf>
    <xf numFmtId="10" fontId="2" fillId="0" borderId="6" xfId="0" applyNumberFormat="1" applyFont="1" applyBorder="1" applyAlignment="1" applyProtection="1">
      <alignment horizontal="left" vertical="center"/>
    </xf>
    <xf numFmtId="0" fontId="2" fillId="0" borderId="6" xfId="0" applyFont="1" applyBorder="1" applyAlignment="1" applyProtection="1">
      <alignment vertical="center"/>
    </xf>
    <xf numFmtId="4" fontId="2" fillId="0" borderId="6" xfId="0" applyNumberFormat="1" applyFont="1" applyFill="1" applyBorder="1" applyProtection="1"/>
    <xf numFmtId="0" fontId="2" fillId="0" borderId="0" xfId="0" applyFont="1" applyProtection="1"/>
    <xf numFmtId="1" fontId="4" fillId="0" borderId="0" xfId="0" applyNumberFormat="1" applyFont="1" applyBorder="1" applyAlignment="1" applyProtection="1">
      <alignment vertical="center"/>
    </xf>
    <xf numFmtId="1" fontId="4" fillId="0" borderId="0" xfId="0" applyNumberFormat="1" applyFont="1" applyBorder="1" applyAlignment="1" applyProtection="1">
      <alignment horizontal="left" vertical="center"/>
    </xf>
    <xf numFmtId="1" fontId="4" fillId="0" borderId="0" xfId="0" applyNumberFormat="1" applyFont="1" applyBorder="1" applyAlignment="1" applyProtection="1">
      <alignment horizontal="center" vertical="center"/>
    </xf>
    <xf numFmtId="1" fontId="4" fillId="0" borderId="0" xfId="0" applyNumberFormat="1" applyFont="1" applyAlignment="1" applyProtection="1">
      <alignment vertical="center"/>
    </xf>
    <xf numFmtId="1" fontId="4" fillId="0" borderId="0"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vertical="center"/>
    </xf>
    <xf numFmtId="1" fontId="22" fillId="0" borderId="0" xfId="0" applyNumberFormat="1" applyFont="1" applyBorder="1" applyProtection="1"/>
    <xf numFmtId="1" fontId="22" fillId="0" borderId="0" xfId="0" applyNumberFormat="1" applyFont="1" applyBorder="1" applyAlignment="1" applyProtection="1">
      <alignment horizontal="left" vertical="center"/>
    </xf>
    <xf numFmtId="1" fontId="22" fillId="0" borderId="0" xfId="0" applyNumberFormat="1" applyFont="1" applyAlignment="1" applyProtection="1">
      <alignment horizontal="center"/>
    </xf>
    <xf numFmtId="1" fontId="22" fillId="0" borderId="0" xfId="0" applyNumberFormat="1" applyFont="1" applyAlignment="1" applyProtection="1">
      <alignment vertical="center"/>
    </xf>
    <xf numFmtId="1" fontId="22" fillId="0" borderId="0" xfId="0" applyNumberFormat="1" applyFont="1" applyFill="1" applyBorder="1" applyProtection="1"/>
    <xf numFmtId="1" fontId="22" fillId="0" borderId="0" xfId="0" applyNumberFormat="1" applyFont="1" applyProtection="1"/>
    <xf numFmtId="0" fontId="2" fillId="0" borderId="0" xfId="0" applyFont="1" applyBorder="1" applyAlignment="1" applyProtection="1">
      <alignment horizontal="left" vertical="center"/>
    </xf>
    <xf numFmtId="1" fontId="4" fillId="6" borderId="0" xfId="0" applyNumberFormat="1" applyFont="1" applyFill="1" applyBorder="1" applyAlignment="1" applyProtection="1">
      <alignment horizontal="center" vertical="center"/>
      <protection locked="0"/>
    </xf>
    <xf numFmtId="1" fontId="4" fillId="0" borderId="0" xfId="0" applyNumberFormat="1" applyFont="1" applyFill="1" applyBorder="1" applyAlignment="1" applyProtection="1">
      <alignment horizontal="center" vertical="center"/>
      <protection locked="0"/>
    </xf>
    <xf numFmtId="1" fontId="2" fillId="0" borderId="0" xfId="0" applyNumberFormat="1" applyFont="1" applyBorder="1" applyAlignment="1" applyProtection="1">
      <alignment horizontal="left" vertical="center"/>
    </xf>
    <xf numFmtId="2" fontId="2" fillId="2"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left" vertical="center"/>
    </xf>
    <xf numFmtId="166" fontId="4" fillId="6" borderId="0" xfId="0" applyNumberFormat="1" applyFont="1" applyFill="1" applyBorder="1" applyAlignment="1" applyProtection="1">
      <alignment horizontal="center" vertical="center"/>
      <protection locked="0"/>
    </xf>
    <xf numFmtId="4" fontId="2" fillId="4"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166" fontId="2" fillId="0" borderId="0"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1" fontId="2" fillId="0" borderId="6" xfId="0" applyNumberFormat="1" applyFont="1" applyBorder="1" applyProtection="1"/>
    <xf numFmtId="1" fontId="2" fillId="0" borderId="6" xfId="0" applyNumberFormat="1" applyFont="1" applyBorder="1" applyAlignment="1" applyProtection="1">
      <alignment horizontal="left" vertical="center"/>
    </xf>
    <xf numFmtId="1" fontId="2" fillId="0" borderId="6" xfId="0" applyNumberFormat="1" applyFont="1" applyBorder="1" applyAlignment="1" applyProtection="1">
      <alignment vertical="center"/>
    </xf>
    <xf numFmtId="1" fontId="2" fillId="0" borderId="6" xfId="0" applyNumberFormat="1" applyFont="1" applyFill="1" applyBorder="1" applyProtection="1"/>
    <xf numFmtId="1" fontId="2" fillId="0" borderId="0" xfId="0" applyNumberFormat="1" applyFont="1" applyFill="1" applyBorder="1" applyProtection="1"/>
    <xf numFmtId="1" fontId="2" fillId="0" borderId="0" xfId="0" applyNumberFormat="1" applyFont="1" applyProtection="1"/>
    <xf numFmtId="1" fontId="2" fillId="0" borderId="0" xfId="0" applyNumberFormat="1" applyFont="1" applyBorder="1" applyProtection="1"/>
    <xf numFmtId="1" fontId="2" fillId="0" borderId="0" xfId="0" applyNumberFormat="1" applyFont="1" applyBorder="1" applyAlignment="1" applyProtection="1">
      <alignment horizontal="center" vertical="center"/>
    </xf>
    <xf numFmtId="1" fontId="2" fillId="0" borderId="0" xfId="0" applyNumberFormat="1" applyFont="1" applyAlignment="1" applyProtection="1">
      <alignment horizontal="left" vertical="center"/>
    </xf>
    <xf numFmtId="1" fontId="2" fillId="0" borderId="0" xfId="0" applyNumberFormat="1" applyFont="1" applyFill="1" applyBorder="1" applyAlignment="1" applyProtection="1">
      <alignment horizontal="center"/>
    </xf>
    <xf numFmtId="1" fontId="22" fillId="0" borderId="0" xfId="0" applyNumberFormat="1" applyFont="1" applyBorder="1" applyAlignment="1" applyProtection="1">
      <alignment vertical="center"/>
    </xf>
    <xf numFmtId="1" fontId="23" fillId="0" borderId="0" xfId="0" applyNumberFormat="1" applyFont="1" applyBorder="1" applyAlignment="1" applyProtection="1">
      <alignment horizontal="left" vertical="center"/>
    </xf>
    <xf numFmtId="1" fontId="22" fillId="0" borderId="0" xfId="0" applyNumberFormat="1" applyFont="1" applyBorder="1" applyAlignment="1" applyProtection="1">
      <alignment horizontal="center" vertical="center"/>
    </xf>
    <xf numFmtId="1" fontId="22" fillId="0" borderId="0" xfId="0" applyNumberFormat="1" applyFont="1" applyAlignment="1" applyProtection="1">
      <alignment horizontal="left" vertical="center"/>
    </xf>
    <xf numFmtId="1" fontId="22" fillId="0" borderId="0" xfId="0" applyNumberFormat="1" applyFont="1" applyFill="1" applyBorder="1" applyAlignment="1" applyProtection="1">
      <alignment horizontal="center" vertical="center"/>
    </xf>
    <xf numFmtId="1" fontId="22" fillId="0" borderId="0" xfId="0" applyNumberFormat="1" applyFont="1" applyFill="1" applyBorder="1" applyAlignment="1" applyProtection="1">
      <alignment horizontal="left" vertical="center"/>
    </xf>
    <xf numFmtId="1" fontId="22" fillId="0" borderId="0" xfId="0" applyNumberFormat="1" applyFont="1" applyFill="1" applyBorder="1" applyAlignment="1" applyProtection="1">
      <alignment vertical="center"/>
    </xf>
    <xf numFmtId="1" fontId="2" fillId="0" borderId="0" xfId="0" applyNumberFormat="1" applyFont="1" applyBorder="1" applyAlignment="1" applyProtection="1">
      <alignment vertical="center"/>
    </xf>
    <xf numFmtId="0" fontId="2" fillId="0" borderId="0" xfId="0" applyFont="1" applyAlignment="1" applyProtection="1">
      <alignment horizontal="left" vertical="center"/>
    </xf>
    <xf numFmtId="3" fontId="4" fillId="6" borderId="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1" fontId="2" fillId="0" borderId="0" xfId="0" applyNumberFormat="1" applyFont="1" applyAlignment="1" applyProtection="1">
      <alignment vertical="center"/>
    </xf>
    <xf numFmtId="3" fontId="2" fillId="2"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vertical="center"/>
    </xf>
    <xf numFmtId="0" fontId="2" fillId="0" borderId="0" xfId="0" applyFont="1" applyFill="1" applyAlignment="1" applyProtection="1">
      <alignment horizontal="left" vertical="center"/>
    </xf>
    <xf numFmtId="3" fontId="2" fillId="0" borderId="0" xfId="0" applyNumberFormat="1" applyFont="1" applyFill="1" applyBorder="1" applyAlignment="1" applyProtection="1">
      <alignment horizontal="left"/>
    </xf>
    <xf numFmtId="1" fontId="2" fillId="0" borderId="0" xfId="0" applyNumberFormat="1" applyFont="1" applyFill="1" applyProtection="1"/>
    <xf numFmtId="3" fontId="4" fillId="0" borderId="0" xfId="0" applyNumberFormat="1" applyFont="1" applyFill="1" applyBorder="1" applyAlignment="1" applyProtection="1">
      <alignment horizontal="left"/>
    </xf>
    <xf numFmtId="0" fontId="2" fillId="0" borderId="6" xfId="0" applyFont="1" applyFill="1" applyBorder="1" applyAlignment="1" applyProtection="1">
      <alignment horizontal="left" vertical="center"/>
    </xf>
    <xf numFmtId="3" fontId="2" fillId="0" borderId="6" xfId="0" applyNumberFormat="1" applyFont="1" applyFill="1" applyBorder="1" applyAlignment="1" applyProtection="1">
      <alignment horizontal="left"/>
    </xf>
    <xf numFmtId="1" fontId="2" fillId="0" borderId="6" xfId="0" applyNumberFormat="1" applyFont="1" applyFill="1" applyBorder="1" applyAlignment="1" applyProtection="1">
      <alignment vertical="center"/>
    </xf>
    <xf numFmtId="1" fontId="2" fillId="0" borderId="0" xfId="0" applyNumberFormat="1" applyFont="1" applyFill="1" applyBorder="1" applyAlignment="1" applyProtection="1"/>
    <xf numFmtId="1" fontId="4" fillId="0" borderId="0" xfId="0" applyNumberFormat="1" applyFont="1" applyAlignment="1" applyProtection="1"/>
    <xf numFmtId="3" fontId="2" fillId="0" borderId="0" xfId="0" applyNumberFormat="1" applyFont="1" applyFill="1" applyBorder="1" applyAlignment="1" applyProtection="1">
      <alignment horizontal="right"/>
    </xf>
    <xf numFmtId="1" fontId="4" fillId="0" borderId="0" xfId="0" applyNumberFormat="1" applyFont="1" applyFill="1" applyAlignment="1" applyProtection="1">
      <alignment horizontal="center" wrapText="1"/>
    </xf>
    <xf numFmtId="1" fontId="2" fillId="0" borderId="0" xfId="0" applyNumberFormat="1" applyFont="1" applyFill="1" applyAlignment="1" applyProtection="1"/>
    <xf numFmtId="1"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center"/>
    </xf>
    <xf numFmtId="1" fontId="4" fillId="0" borderId="0" xfId="0" applyNumberFormat="1" applyFont="1" applyFill="1" applyBorder="1" applyAlignment="1" applyProtection="1">
      <alignment horizontal="center"/>
    </xf>
    <xf numFmtId="1" fontId="22" fillId="0" borderId="0" xfId="0" applyNumberFormat="1" applyFont="1" applyFill="1" applyAlignment="1" applyProtection="1">
      <alignment horizontal="center"/>
    </xf>
    <xf numFmtId="3" fontId="22" fillId="0" borderId="0" xfId="0" applyNumberFormat="1" applyFont="1" applyFill="1" applyBorder="1" applyAlignment="1" applyProtection="1">
      <alignment horizontal="center"/>
    </xf>
    <xf numFmtId="1" fontId="22" fillId="0" borderId="0" xfId="0" applyNumberFormat="1" applyFont="1" applyFill="1" applyBorder="1" applyAlignment="1" applyProtection="1">
      <alignment horizontal="center"/>
    </xf>
    <xf numFmtId="167" fontId="4" fillId="6" borderId="0" xfId="0" applyNumberFormat="1" applyFont="1" applyFill="1" applyAlignment="1" applyProtection="1">
      <alignment horizontal="center"/>
      <protection locked="0"/>
    </xf>
    <xf numFmtId="167" fontId="4" fillId="6" borderId="0" xfId="0" applyNumberFormat="1" applyFont="1" applyFill="1" applyBorder="1" applyAlignment="1" applyProtection="1">
      <alignment horizontal="center"/>
      <protection locked="0"/>
    </xf>
    <xf numFmtId="1" fontId="4" fillId="6" borderId="0" xfId="0" applyNumberFormat="1" applyFont="1" applyFill="1" applyBorder="1" applyAlignment="1" applyProtection="1">
      <alignment horizontal="center"/>
      <protection locked="0"/>
    </xf>
    <xf numFmtId="0" fontId="22" fillId="0" borderId="0" xfId="0" applyFont="1" applyFill="1" applyAlignment="1" applyProtection="1">
      <alignment horizontal="left" vertical="center"/>
    </xf>
    <xf numFmtId="3" fontId="22" fillId="0" borderId="0" xfId="0" applyNumberFormat="1" applyFont="1" applyFill="1" applyBorder="1" applyAlignment="1" applyProtection="1">
      <alignment horizontal="right" vertical="center"/>
    </xf>
    <xf numFmtId="1" fontId="22" fillId="0" borderId="0" xfId="0" applyNumberFormat="1" applyFont="1" applyFill="1" applyAlignment="1" applyProtection="1">
      <alignment horizontal="center" vertical="center"/>
    </xf>
    <xf numFmtId="3" fontId="22" fillId="0" borderId="0" xfId="0" applyNumberFormat="1" applyFont="1" applyFill="1" applyBorder="1" applyAlignment="1" applyProtection="1">
      <alignment horizontal="center" vertical="center"/>
    </xf>
    <xf numFmtId="1" fontId="22" fillId="0" borderId="0" xfId="0" applyNumberFormat="1" applyFont="1" applyFill="1" applyAlignment="1" applyProtection="1">
      <alignment vertical="center"/>
    </xf>
    <xf numFmtId="0" fontId="4" fillId="0" borderId="1" xfId="0" applyFont="1" applyBorder="1" applyProtection="1"/>
    <xf numFmtId="0" fontId="4" fillId="0" borderId="0" xfId="0" applyFont="1" applyProtection="1"/>
    <xf numFmtId="0" fontId="24" fillId="0" borderId="0" xfId="0" applyFont="1" applyProtection="1"/>
    <xf numFmtId="0" fontId="25" fillId="0" borderId="0" xfId="0" applyFont="1" applyFill="1" applyProtection="1"/>
    <xf numFmtId="0" fontId="4" fillId="0" borderId="8" xfId="0" applyFont="1" applyFill="1" applyBorder="1" applyAlignment="1" applyProtection="1"/>
    <xf numFmtId="0" fontId="4" fillId="0" borderId="6" xfId="0" applyFont="1" applyFill="1" applyBorder="1" applyAlignment="1" applyProtection="1"/>
    <xf numFmtId="0" fontId="4" fillId="0" borderId="8"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0" xfId="0" applyFont="1" applyAlignment="1" applyProtection="1"/>
    <xf numFmtId="0" fontId="4" fillId="0" borderId="1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0" xfId="0" applyFont="1" applyFill="1" applyBorder="1" applyAlignment="1" applyProtection="1">
      <alignment horizontal="center" vertical="center" wrapText="1"/>
    </xf>
    <xf numFmtId="3" fontId="4" fillId="0" borderId="11" xfId="0" applyNumberFormat="1" applyFont="1" applyFill="1" applyBorder="1" applyAlignment="1" applyProtection="1">
      <alignment horizontal="center" vertical="center" wrapText="1"/>
    </xf>
    <xf numFmtId="0" fontId="4" fillId="0" borderId="0" xfId="0" applyFont="1" applyAlignment="1" applyProtection="1">
      <alignment vertical="center" wrapText="1"/>
    </xf>
    <xf numFmtId="0" fontId="4" fillId="0" borderId="12" xfId="0" applyFont="1" applyFill="1" applyBorder="1" applyAlignment="1" applyProtection="1">
      <alignment vertical="top"/>
    </xf>
    <xf numFmtId="0" fontId="4" fillId="0" borderId="1" xfId="0" applyFont="1" applyFill="1" applyBorder="1" applyAlignment="1" applyProtection="1">
      <alignment vertical="top"/>
    </xf>
    <xf numFmtId="0" fontId="4" fillId="0" borderId="12" xfId="0" applyFont="1" applyFill="1" applyBorder="1" applyAlignment="1" applyProtection="1">
      <alignment horizontal="center" vertical="top"/>
    </xf>
    <xf numFmtId="0" fontId="4" fillId="0" borderId="13" xfId="0" applyFont="1" applyFill="1" applyBorder="1" applyAlignment="1" applyProtection="1">
      <alignment horizontal="center" vertical="top"/>
    </xf>
    <xf numFmtId="0" fontId="4" fillId="0" borderId="0" xfId="0" applyFont="1" applyAlignment="1" applyProtection="1">
      <alignment vertical="top"/>
    </xf>
    <xf numFmtId="0" fontId="2" fillId="0" borderId="14" xfId="0" applyFont="1" applyBorder="1" applyProtection="1"/>
    <xf numFmtId="0" fontId="2" fillId="0" borderId="15" xfId="0" applyFont="1" applyBorder="1" applyProtection="1"/>
    <xf numFmtId="0" fontId="11" fillId="0" borderId="14" xfId="0" applyFont="1" applyBorder="1" applyAlignment="1" applyProtection="1">
      <alignment horizontal="center"/>
    </xf>
    <xf numFmtId="0" fontId="2" fillId="0" borderId="16" xfId="0" applyFont="1" applyFill="1" applyBorder="1" applyProtection="1"/>
    <xf numFmtId="0" fontId="2" fillId="0" borderId="10" xfId="0" applyFont="1" applyBorder="1" applyAlignment="1" applyProtection="1">
      <alignment vertical="center"/>
    </xf>
    <xf numFmtId="0" fontId="4" fillId="0" borderId="0" xfId="0" applyFont="1" applyBorder="1" applyAlignment="1" applyProtection="1">
      <alignment vertical="center"/>
    </xf>
    <xf numFmtId="0" fontId="11" fillId="0" borderId="10" xfId="0" applyFont="1" applyBorder="1" applyAlignment="1" applyProtection="1">
      <alignment horizontal="center" vertical="center"/>
    </xf>
    <xf numFmtId="0" fontId="2" fillId="0" borderId="11" xfId="0" applyFont="1" applyFill="1" applyBorder="1" applyAlignment="1" applyProtection="1">
      <alignment vertical="center"/>
    </xf>
    <xf numFmtId="0" fontId="26" fillId="0" borderId="10" xfId="0" applyFont="1" applyBorder="1" applyAlignment="1" applyProtection="1">
      <alignment vertical="center"/>
    </xf>
    <xf numFmtId="4" fontId="4" fillId="6" borderId="11" xfId="0" applyNumberFormat="1" applyFont="1" applyFill="1" applyBorder="1" applyAlignment="1" applyProtection="1">
      <alignment vertical="center"/>
      <protection locked="0"/>
    </xf>
    <xf numFmtId="0" fontId="26" fillId="0" borderId="0" xfId="0" applyFont="1" applyAlignment="1" applyProtection="1">
      <alignment vertical="center"/>
    </xf>
    <xf numFmtId="0" fontId="26" fillId="0" borderId="17" xfId="0" applyFont="1" applyBorder="1" applyAlignment="1" applyProtection="1">
      <alignment vertical="center"/>
    </xf>
    <xf numFmtId="0" fontId="26" fillId="0" borderId="18" xfId="0" applyFont="1" applyBorder="1" applyAlignment="1" applyProtection="1">
      <alignment vertical="center"/>
    </xf>
    <xf numFmtId="0" fontId="27" fillId="0" borderId="17" xfId="0" applyFont="1" applyBorder="1" applyAlignment="1" applyProtection="1">
      <alignment horizontal="center" vertical="center"/>
    </xf>
    <xf numFmtId="4" fontId="26" fillId="0" borderId="19" xfId="0" applyNumberFormat="1" applyFont="1" applyFill="1" applyBorder="1" applyAlignment="1" applyProtection="1">
      <alignment vertical="center"/>
    </xf>
    <xf numFmtId="164" fontId="4" fillId="6" borderId="11" xfId="0" applyNumberFormat="1" applyFont="1" applyFill="1" applyBorder="1" applyAlignment="1" applyProtection="1">
      <alignment vertical="center"/>
      <protection locked="0"/>
    </xf>
    <xf numFmtId="0" fontId="26" fillId="2" borderId="14" xfId="0" applyFont="1" applyFill="1" applyBorder="1" applyProtection="1"/>
    <xf numFmtId="0" fontId="2" fillId="2" borderId="15" xfId="0" applyFont="1" applyFill="1" applyBorder="1" applyProtection="1"/>
    <xf numFmtId="0" fontId="11" fillId="2" borderId="14" xfId="0" applyFont="1" applyFill="1" applyBorder="1" applyAlignment="1" applyProtection="1">
      <alignment horizontal="center"/>
    </xf>
    <xf numFmtId="164" fontId="2" fillId="2" borderId="16" xfId="0" applyNumberFormat="1" applyFont="1" applyFill="1" applyBorder="1" applyProtection="1"/>
    <xf numFmtId="0" fontId="26" fillId="0" borderId="0" xfId="0" applyFont="1" applyProtection="1"/>
    <xf numFmtId="0" fontId="28" fillId="2" borderId="10" xfId="0" applyFont="1" applyFill="1" applyBorder="1" applyAlignment="1" applyProtection="1">
      <alignment vertical="center"/>
    </xf>
    <xf numFmtId="0" fontId="26" fillId="2" borderId="0" xfId="0" applyFont="1" applyFill="1" applyBorder="1" applyAlignment="1" applyProtection="1">
      <alignment vertical="center"/>
    </xf>
    <xf numFmtId="0" fontId="27" fillId="2" borderId="10" xfId="0" applyFont="1" applyFill="1" applyBorder="1" applyAlignment="1" applyProtection="1">
      <alignment horizontal="center" vertical="center"/>
    </xf>
    <xf numFmtId="4" fontId="26" fillId="2" borderId="20" xfId="0" applyNumberFormat="1" applyFont="1" applyFill="1" applyBorder="1" applyAlignment="1" applyProtection="1">
      <alignment vertical="center"/>
    </xf>
    <xf numFmtId="0" fontId="28" fillId="0" borderId="0" xfId="0" applyFont="1" applyAlignment="1" applyProtection="1">
      <alignment vertical="center"/>
    </xf>
    <xf numFmtId="0" fontId="26" fillId="2" borderId="10" xfId="0" applyFont="1" applyFill="1" applyBorder="1" applyProtection="1"/>
    <xf numFmtId="0" fontId="2" fillId="2" borderId="0" xfId="0" applyFont="1" applyFill="1" applyProtection="1"/>
    <xf numFmtId="0" fontId="27" fillId="2" borderId="10" xfId="0" applyFont="1" applyFill="1" applyBorder="1" applyAlignment="1" applyProtection="1">
      <alignment horizontal="center"/>
    </xf>
    <xf numFmtId="4" fontId="2" fillId="2" borderId="11" xfId="0" applyNumberFormat="1" applyFont="1" applyFill="1" applyBorder="1" applyProtection="1"/>
    <xf numFmtId="0" fontId="26" fillId="0" borderId="8" xfId="0" applyFont="1" applyBorder="1" applyProtection="1"/>
    <xf numFmtId="0" fontId="27" fillId="0" borderId="8" xfId="0" applyFont="1" applyBorder="1" applyAlignment="1" applyProtection="1">
      <alignment horizontal="center"/>
    </xf>
    <xf numFmtId="4" fontId="2" fillId="0" borderId="9" xfId="0" applyNumberFormat="1" applyFont="1" applyFill="1" applyBorder="1" applyProtection="1"/>
    <xf numFmtId="0" fontId="27" fillId="0" borderId="10" xfId="0" applyFont="1" applyBorder="1" applyAlignment="1" applyProtection="1">
      <alignment horizontal="center" vertical="center"/>
    </xf>
    <xf numFmtId="4" fontId="2" fillId="0" borderId="11" xfId="0" applyNumberFormat="1" applyFont="1" applyFill="1" applyBorder="1" applyAlignment="1" applyProtection="1">
      <alignment vertical="center"/>
    </xf>
    <xf numFmtId="4" fontId="2" fillId="0" borderId="20" xfId="0" applyNumberFormat="1" applyFont="1" applyFill="1" applyBorder="1" applyAlignment="1" applyProtection="1">
      <alignment vertical="center"/>
    </xf>
    <xf numFmtId="0" fontId="26" fillId="0" borderId="10" xfId="0" applyFont="1" applyBorder="1" applyProtection="1"/>
    <xf numFmtId="0" fontId="27" fillId="0" borderId="10" xfId="0" applyFont="1" applyBorder="1" applyAlignment="1" applyProtection="1">
      <alignment horizontal="center"/>
    </xf>
    <xf numFmtId="4" fontId="2" fillId="0" borderId="11" xfId="0" applyNumberFormat="1" applyFont="1" applyFill="1" applyBorder="1" applyProtection="1"/>
    <xf numFmtId="0" fontId="27" fillId="2" borderId="14" xfId="0" applyFont="1" applyFill="1" applyBorder="1" applyAlignment="1" applyProtection="1">
      <alignment horizontal="center"/>
    </xf>
    <xf numFmtId="4" fontId="2" fillId="2" borderId="16" xfId="0" applyNumberFormat="1" applyFont="1" applyFill="1" applyBorder="1" applyProtection="1"/>
    <xf numFmtId="4" fontId="26" fillId="2" borderId="11" xfId="0" applyNumberFormat="1" applyFont="1" applyFill="1" applyBorder="1" applyAlignment="1" applyProtection="1">
      <alignment vertical="center"/>
    </xf>
    <xf numFmtId="0" fontId="2" fillId="2" borderId="0" xfId="0" applyFont="1" applyFill="1" applyBorder="1" applyProtection="1"/>
    <xf numFmtId="0" fontId="26" fillId="0" borderId="8" xfId="0" applyFont="1" applyBorder="1" applyAlignment="1" applyProtection="1">
      <alignment vertical="center"/>
    </xf>
    <xf numFmtId="0" fontId="26" fillId="0" borderId="6" xfId="0" applyFont="1" applyBorder="1" applyAlignment="1" applyProtection="1">
      <alignment vertical="center"/>
    </xf>
    <xf numFmtId="0" fontId="27" fillId="0" borderId="8" xfId="0" applyFont="1" applyBorder="1" applyAlignment="1" applyProtection="1">
      <alignment horizontal="center" vertical="center"/>
    </xf>
    <xf numFmtId="4" fontId="2" fillId="0" borderId="9" xfId="0" applyNumberFormat="1" applyFont="1" applyFill="1" applyBorder="1" applyAlignment="1" applyProtection="1">
      <alignment vertical="center"/>
    </xf>
    <xf numFmtId="4" fontId="4" fillId="3" borderId="11" xfId="0" applyNumberFormat="1" applyFont="1" applyFill="1" applyBorder="1" applyAlignment="1" applyProtection="1">
      <alignment vertical="center"/>
      <protection locked="0"/>
    </xf>
    <xf numFmtId="0" fontId="2" fillId="2" borderId="14" xfId="0" applyFont="1" applyFill="1" applyBorder="1" applyProtection="1"/>
    <xf numFmtId="0" fontId="2" fillId="2" borderId="12" xfId="0" applyFont="1" applyFill="1" applyBorder="1" applyProtection="1"/>
    <xf numFmtId="0" fontId="2" fillId="2" borderId="1" xfId="0" applyFont="1" applyFill="1" applyBorder="1" applyProtection="1"/>
    <xf numFmtId="0" fontId="11" fillId="2" borderId="12" xfId="0" applyFont="1" applyFill="1" applyBorder="1" applyAlignment="1" applyProtection="1">
      <alignment horizontal="center"/>
    </xf>
    <xf numFmtId="4" fontId="2" fillId="2" borderId="13" xfId="0" applyNumberFormat="1" applyFont="1" applyFill="1" applyBorder="1" applyProtection="1"/>
    <xf numFmtId="0" fontId="2" fillId="0" borderId="10" xfId="0" applyFont="1" applyBorder="1" applyProtection="1"/>
    <xf numFmtId="0" fontId="2" fillId="0" borderId="0" xfId="0" applyFont="1" applyBorder="1" applyProtection="1"/>
    <xf numFmtId="0" fontId="11" fillId="0" borderId="10" xfId="0" applyFont="1" applyBorder="1" applyAlignment="1" applyProtection="1">
      <alignment horizontal="center"/>
    </xf>
    <xf numFmtId="4" fontId="26" fillId="0" borderId="11" xfId="0" applyNumberFormat="1" applyFont="1" applyFill="1" applyBorder="1" applyAlignment="1" applyProtection="1">
      <alignment vertical="center"/>
    </xf>
    <xf numFmtId="0" fontId="26" fillId="2" borderId="0" xfId="0" applyFont="1" applyFill="1" applyAlignment="1" applyProtection="1">
      <alignment vertical="center"/>
    </xf>
    <xf numFmtId="0" fontId="11" fillId="2" borderId="10" xfId="0" applyFont="1" applyFill="1" applyBorder="1" applyAlignment="1" applyProtection="1">
      <alignment horizontal="center" vertical="center"/>
    </xf>
    <xf numFmtId="0" fontId="11" fillId="0" borderId="10" xfId="0" applyFont="1" applyBorder="1" applyAlignment="1" applyProtection="1">
      <alignment vertical="center"/>
    </xf>
    <xf numFmtId="0" fontId="2" fillId="2" borderId="10" xfId="0" applyFont="1" applyFill="1" applyBorder="1" applyProtection="1"/>
    <xf numFmtId="0" fontId="11" fillId="2" borderId="10" xfId="0" applyFont="1" applyFill="1" applyBorder="1" applyAlignment="1" applyProtection="1">
      <alignment horizontal="center"/>
    </xf>
    <xf numFmtId="0" fontId="2" fillId="2" borderId="8" xfId="0" applyFont="1" applyFill="1" applyBorder="1" applyProtection="1"/>
    <xf numFmtId="0" fontId="2" fillId="2" borderId="6" xfId="0" applyFont="1" applyFill="1" applyBorder="1" applyProtection="1"/>
    <xf numFmtId="0" fontId="11" fillId="2" borderId="8" xfId="0" applyFont="1" applyFill="1" applyBorder="1" applyAlignment="1" applyProtection="1">
      <alignment horizontal="center"/>
    </xf>
    <xf numFmtId="4" fontId="2" fillId="2" borderId="9" xfId="0" applyNumberFormat="1" applyFont="1" applyFill="1" applyBorder="1" applyProtection="1"/>
    <xf numFmtId="0" fontId="29" fillId="2" borderId="1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10" xfId="0" applyFont="1" applyFill="1" applyBorder="1" applyAlignment="1" applyProtection="1">
      <alignment horizontal="center" vertical="center"/>
    </xf>
    <xf numFmtId="4" fontId="30" fillId="2" borderId="11" xfId="0" applyNumberFormat="1" applyFont="1" applyFill="1" applyBorder="1" applyAlignment="1" applyProtection="1">
      <alignment vertical="center"/>
    </xf>
    <xf numFmtId="0" fontId="29" fillId="0" borderId="0" xfId="0" applyFont="1" applyAlignment="1" applyProtection="1">
      <alignment vertical="center"/>
    </xf>
    <xf numFmtId="166" fontId="30" fillId="2" borderId="11" xfId="0" applyNumberFormat="1" applyFont="1" applyFill="1" applyBorder="1" applyAlignment="1" applyProtection="1">
      <alignment vertical="center"/>
    </xf>
    <xf numFmtId="0" fontId="2" fillId="2" borderId="12" xfId="0" applyFont="1" applyFill="1" applyBorder="1" applyAlignment="1" applyProtection="1">
      <alignment horizontal="center"/>
    </xf>
    <xf numFmtId="0" fontId="25" fillId="2" borderId="13" xfId="0" applyFont="1" applyFill="1" applyBorder="1" applyProtection="1"/>
    <xf numFmtId="0" fontId="0" fillId="0" borderId="0" xfId="0" applyProtection="1"/>
    <xf numFmtId="0" fontId="0" fillId="0" borderId="0" xfId="0" applyAlignment="1" applyProtection="1">
      <alignment horizontal="center"/>
    </xf>
    <xf numFmtId="0" fontId="31" fillId="0" borderId="0" xfId="0" applyFont="1" applyFill="1" applyProtection="1"/>
    <xf numFmtId="0" fontId="5" fillId="0" borderId="0" xfId="0" applyFont="1" applyAlignment="1" applyProtection="1">
      <alignment horizontal="left"/>
    </xf>
    <xf numFmtId="0" fontId="0" fillId="0" borderId="0" xfId="0" applyBorder="1" applyAlignment="1" applyProtection="1">
      <alignment horizontal="center"/>
    </xf>
    <xf numFmtId="0" fontId="32" fillId="0" borderId="0" xfId="0" applyFont="1" applyProtection="1"/>
    <xf numFmtId="0" fontId="29" fillId="0" borderId="0" xfId="0" applyFont="1" applyAlignment="1" applyProtection="1">
      <alignment horizontal="center"/>
    </xf>
    <xf numFmtId="0" fontId="18" fillId="0" borderId="0" xfId="0" applyFont="1" applyAlignment="1" applyProtection="1">
      <alignment horizontal="center"/>
    </xf>
    <xf numFmtId="0" fontId="4" fillId="0" borderId="6" xfId="0" applyFont="1" applyBorder="1" applyAlignment="1" applyProtection="1">
      <alignment vertical="center"/>
    </xf>
    <xf numFmtId="3" fontId="4" fillId="0" borderId="6" xfId="0" applyNumberFormat="1" applyFont="1" applyBorder="1" applyAlignment="1" applyProtection="1">
      <alignment horizontal="right" vertical="center"/>
    </xf>
    <xf numFmtId="0" fontId="4" fillId="0" borderId="6" xfId="0" applyFont="1" applyBorder="1" applyAlignment="1" applyProtection="1">
      <alignment horizontal="center" vertical="center"/>
    </xf>
    <xf numFmtId="0" fontId="25" fillId="0" borderId="6" xfId="0" applyFont="1" applyFill="1" applyBorder="1" applyAlignment="1" applyProtection="1">
      <alignment vertical="center"/>
    </xf>
    <xf numFmtId="0" fontId="4" fillId="0" borderId="0" xfId="0" applyFont="1" applyAlignment="1" applyProtection="1">
      <alignment vertical="center"/>
    </xf>
    <xf numFmtId="3" fontId="4" fillId="0" borderId="0" xfId="0" applyNumberFormat="1" applyFont="1" applyBorder="1" applyAlignment="1" applyProtection="1">
      <alignment horizontal="right" vertical="center"/>
    </xf>
    <xf numFmtId="1" fontId="2" fillId="0" borderId="1" xfId="0" applyNumberFormat="1" applyFont="1" applyBorder="1" applyAlignment="1" applyProtection="1">
      <alignment vertical="center"/>
    </xf>
    <xf numFmtId="0" fontId="2" fillId="0" borderId="1" xfId="0" applyFont="1" applyBorder="1" applyAlignment="1" applyProtection="1">
      <alignment horizontal="left" vertical="center"/>
    </xf>
    <xf numFmtId="3" fontId="4" fillId="0" borderId="1" xfId="0" applyNumberFormat="1" applyFont="1" applyBorder="1" applyAlignment="1" applyProtection="1">
      <alignment horizontal="right" vertical="center"/>
    </xf>
    <xf numFmtId="1" fontId="2" fillId="0" borderId="1" xfId="0" applyNumberFormat="1" applyFont="1" applyFill="1" applyBorder="1" applyAlignment="1" applyProtection="1">
      <alignment vertical="center"/>
    </xf>
    <xf numFmtId="0" fontId="4" fillId="0" borderId="0" xfId="0" applyFont="1" applyAlignment="1" applyProtection="1">
      <alignment horizontal="center"/>
    </xf>
    <xf numFmtId="0" fontId="4" fillId="2" borderId="8" xfId="0" applyFont="1" applyFill="1" applyBorder="1" applyAlignment="1" applyProtection="1"/>
    <xf numFmtId="0" fontId="4" fillId="2" borderId="6" xfId="0" applyFont="1" applyFill="1" applyBorder="1" applyAlignment="1" applyProtection="1"/>
    <xf numFmtId="0" fontId="4" fillId="2" borderId="9"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10"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2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vertical="top"/>
    </xf>
    <xf numFmtId="0" fontId="4" fillId="2" borderId="1" xfId="0" applyFont="1" applyFill="1" applyBorder="1" applyAlignment="1" applyProtection="1">
      <alignment vertical="top"/>
    </xf>
    <xf numFmtId="0" fontId="4" fillId="2" borderId="13" xfId="0" applyFont="1" applyFill="1" applyBorder="1" applyAlignment="1" applyProtection="1">
      <alignment horizontal="center" vertical="top"/>
    </xf>
    <xf numFmtId="0" fontId="4" fillId="2" borderId="12" xfId="0" applyFont="1" applyFill="1" applyBorder="1" applyAlignment="1" applyProtection="1">
      <alignment horizontal="center" vertical="top"/>
    </xf>
    <xf numFmtId="0" fontId="4" fillId="2" borderId="23" xfId="0" applyFont="1" applyFill="1" applyBorder="1" applyAlignment="1" applyProtection="1">
      <alignment horizontal="center" vertical="top"/>
    </xf>
    <xf numFmtId="0" fontId="4" fillId="2" borderId="1" xfId="0" applyFont="1" applyFill="1" applyBorder="1" applyAlignment="1" applyProtection="1">
      <alignment horizontal="center" vertical="top"/>
    </xf>
    <xf numFmtId="0" fontId="2" fillId="0" borderId="8" xfId="0" applyFont="1" applyBorder="1" applyProtection="1"/>
    <xf numFmtId="0" fontId="11" fillId="0" borderId="9" xfId="0" applyFont="1" applyBorder="1" applyAlignment="1" applyProtection="1">
      <alignment horizontal="center"/>
    </xf>
    <xf numFmtId="0" fontId="11" fillId="0" borderId="8" xfId="0" applyFont="1" applyBorder="1" applyAlignment="1" applyProtection="1">
      <alignment horizontal="center"/>
    </xf>
    <xf numFmtId="0" fontId="11" fillId="0" borderId="7" xfId="0" applyFont="1" applyBorder="1" applyAlignment="1" applyProtection="1">
      <alignment horizontal="center"/>
    </xf>
    <xf numFmtId="0" fontId="2" fillId="0" borderId="6" xfId="0" applyFont="1" applyFill="1" applyBorder="1" applyProtection="1"/>
    <xf numFmtId="0" fontId="2" fillId="0" borderId="8" xfId="0" applyFont="1" applyFill="1" applyBorder="1" applyProtection="1"/>
    <xf numFmtId="0" fontId="11" fillId="0" borderId="11" xfId="0" applyFont="1" applyBorder="1" applyAlignment="1" applyProtection="1">
      <alignment horizontal="center"/>
    </xf>
    <xf numFmtId="0" fontId="11" fillId="0" borderId="0" xfId="0" applyFont="1" applyBorder="1" applyAlignment="1" applyProtection="1">
      <alignment horizontal="center"/>
    </xf>
    <xf numFmtId="4" fontId="2" fillId="0" borderId="10" xfId="0" applyNumberFormat="1" applyFont="1" applyFill="1" applyBorder="1" applyProtection="1"/>
    <xf numFmtId="0" fontId="11" fillId="2" borderId="16" xfId="0" applyFont="1" applyFill="1" applyBorder="1" applyAlignment="1" applyProtection="1">
      <alignment horizontal="center"/>
    </xf>
    <xf numFmtId="4" fontId="2" fillId="2" borderId="15" xfId="0" applyNumberFormat="1" applyFont="1" applyFill="1" applyBorder="1" applyProtection="1"/>
    <xf numFmtId="4" fontId="2" fillId="2" borderId="14" xfId="0" applyNumberFormat="1" applyFont="1" applyFill="1" applyBorder="1" applyProtection="1"/>
    <xf numFmtId="0" fontId="28" fillId="2" borderId="10" xfId="0" applyFont="1" applyFill="1" applyBorder="1" applyProtection="1"/>
    <xf numFmtId="0" fontId="28" fillId="2" borderId="0" xfId="0" applyFont="1" applyFill="1" applyBorder="1" applyProtection="1"/>
    <xf numFmtId="0" fontId="33" fillId="2" borderId="11" xfId="0" applyFont="1" applyFill="1" applyBorder="1" applyAlignment="1" applyProtection="1">
      <alignment horizontal="center"/>
    </xf>
    <xf numFmtId="0" fontId="33" fillId="2" borderId="10" xfId="0" applyFont="1" applyFill="1" applyBorder="1" applyAlignment="1" applyProtection="1">
      <alignment horizontal="center"/>
    </xf>
    <xf numFmtId="4" fontId="28" fillId="2" borderId="0" xfId="0" applyNumberFormat="1" applyFont="1" applyFill="1" applyBorder="1" applyProtection="1"/>
    <xf numFmtId="0" fontId="28" fillId="0" borderId="0" xfId="0" applyFont="1" applyProtection="1"/>
    <xf numFmtId="0" fontId="26" fillId="2" borderId="0" xfId="0" applyFont="1" applyFill="1" applyBorder="1" applyProtection="1"/>
    <xf numFmtId="0" fontId="27" fillId="2" borderId="11" xfId="0" applyFont="1" applyFill="1" applyBorder="1" applyAlignment="1" applyProtection="1">
      <alignment horizontal="center"/>
    </xf>
    <xf numFmtId="4" fontId="26" fillId="2" borderId="0" xfId="0" applyNumberFormat="1" applyFont="1" applyFill="1" applyBorder="1" applyProtection="1"/>
    <xf numFmtId="4" fontId="26" fillId="2" borderId="10" xfId="0" applyNumberFormat="1" applyFont="1" applyFill="1" applyBorder="1" applyProtection="1"/>
    <xf numFmtId="0" fontId="26" fillId="2" borderId="10" xfId="0" applyFont="1" applyFill="1" applyBorder="1" applyAlignment="1" applyProtection="1">
      <alignment vertical="center"/>
    </xf>
    <xf numFmtId="0" fontId="27" fillId="2" borderId="11" xfId="0" applyFont="1" applyFill="1" applyBorder="1" applyAlignment="1" applyProtection="1">
      <alignment horizontal="center" vertical="center"/>
    </xf>
    <xf numFmtId="4" fontId="26" fillId="2" borderId="0" xfId="0" applyNumberFormat="1" applyFont="1" applyFill="1" applyBorder="1" applyAlignment="1" applyProtection="1">
      <alignment vertical="center"/>
    </xf>
    <xf numFmtId="0" fontId="26" fillId="2" borderId="12" xfId="0" applyFont="1" applyFill="1" applyBorder="1" applyProtection="1"/>
    <xf numFmtId="0" fontId="27" fillId="2" borderId="13" xfId="0" applyFont="1" applyFill="1" applyBorder="1" applyAlignment="1" applyProtection="1">
      <alignment horizontal="center"/>
    </xf>
    <xf numFmtId="0" fontId="27" fillId="2" borderId="12" xfId="0" applyFont="1" applyFill="1" applyBorder="1" applyAlignment="1" applyProtection="1">
      <alignment horizontal="center"/>
    </xf>
    <xf numFmtId="4" fontId="2" fillId="2" borderId="1" xfId="0" applyNumberFormat="1" applyFont="1" applyFill="1" applyBorder="1" applyProtection="1"/>
    <xf numFmtId="4" fontId="2" fillId="2" borderId="12" xfId="0" applyNumberFormat="1" applyFont="1" applyFill="1" applyBorder="1" applyProtection="1"/>
    <xf numFmtId="0" fontId="27" fillId="0" borderId="9" xfId="0" applyFont="1" applyBorder="1" applyAlignment="1" applyProtection="1">
      <alignment horizontal="center"/>
    </xf>
    <xf numFmtId="4" fontId="2" fillId="0" borderId="8" xfId="0" applyNumberFormat="1" applyFont="1" applyFill="1" applyBorder="1" applyProtection="1"/>
    <xf numFmtId="0" fontId="28" fillId="2" borderId="0" xfId="0" applyFont="1" applyFill="1" applyBorder="1" applyAlignment="1" applyProtection="1">
      <alignment vertical="center"/>
    </xf>
    <xf numFmtId="0" fontId="33" fillId="2" borderId="11"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4" fontId="28" fillId="2" borderId="0" xfId="0" applyNumberFormat="1" applyFont="1" applyFill="1" applyBorder="1" applyAlignment="1" applyProtection="1">
      <alignment vertical="center"/>
    </xf>
    <xf numFmtId="4" fontId="28" fillId="2" borderId="10" xfId="0" applyNumberFormat="1" applyFont="1" applyFill="1" applyBorder="1" applyAlignment="1" applyProtection="1">
      <alignment vertical="center"/>
    </xf>
    <xf numFmtId="0" fontId="27" fillId="0" borderId="11" xfId="0" applyFont="1" applyBorder="1" applyAlignment="1" applyProtection="1">
      <alignment horizontal="center"/>
    </xf>
    <xf numFmtId="0" fontId="11" fillId="2" borderId="13" xfId="0" applyFont="1" applyFill="1" applyBorder="1" applyAlignment="1" applyProtection="1">
      <alignment horizontal="center"/>
    </xf>
    <xf numFmtId="4" fontId="2" fillId="0" borderId="0" xfId="0" applyNumberFormat="1" applyFont="1" applyBorder="1" applyProtection="1"/>
    <xf numFmtId="0" fontId="11" fillId="2" borderId="9" xfId="0" applyFont="1" applyFill="1" applyBorder="1" applyAlignment="1" applyProtection="1">
      <alignment horizontal="center"/>
    </xf>
    <xf numFmtId="4" fontId="2" fillId="2" borderId="6" xfId="0" applyNumberFormat="1" applyFont="1" applyFill="1" applyBorder="1" applyProtection="1"/>
    <xf numFmtId="4" fontId="2" fillId="2" borderId="8" xfId="0" applyNumberFormat="1" applyFont="1" applyFill="1" applyBorder="1" applyProtection="1"/>
    <xf numFmtId="0" fontId="34" fillId="2" borderId="10" xfId="0" applyFont="1" applyFill="1" applyBorder="1" applyAlignment="1" applyProtection="1">
      <alignment vertical="center"/>
    </xf>
    <xf numFmtId="0" fontId="34" fillId="2" borderId="0" xfId="0" applyFont="1" applyFill="1" applyBorder="1" applyAlignment="1" applyProtection="1">
      <alignment vertical="center"/>
    </xf>
    <xf numFmtId="0" fontId="34" fillId="2" borderId="11" xfId="0" applyFont="1" applyFill="1" applyBorder="1" applyAlignment="1" applyProtection="1">
      <alignment horizontal="center" vertical="center"/>
    </xf>
    <xf numFmtId="0" fontId="34" fillId="2" borderId="10" xfId="0" applyFont="1" applyFill="1" applyBorder="1" applyAlignment="1" applyProtection="1">
      <alignment horizontal="center" vertical="center"/>
    </xf>
    <xf numFmtId="3" fontId="34" fillId="2" borderId="0" xfId="0" applyNumberFormat="1" applyFont="1" applyFill="1" applyBorder="1" applyAlignment="1" applyProtection="1">
      <alignment vertical="center"/>
    </xf>
    <xf numFmtId="0" fontId="34" fillId="2" borderId="0" xfId="0" applyFont="1" applyFill="1" applyBorder="1" applyAlignment="1" applyProtection="1">
      <alignment horizontal="center" vertical="center"/>
    </xf>
    <xf numFmtId="0" fontId="34" fillId="0" borderId="0" xfId="0" applyFont="1" applyAlignment="1" applyProtection="1">
      <alignment vertical="center"/>
    </xf>
    <xf numFmtId="0" fontId="11" fillId="2" borderId="11" xfId="0" applyFont="1" applyFill="1" applyBorder="1" applyAlignment="1" applyProtection="1">
      <alignment horizontal="center"/>
    </xf>
    <xf numFmtId="3" fontId="2" fillId="2" borderId="0" xfId="0" applyNumberFormat="1" applyFont="1" applyFill="1" applyBorder="1" applyProtection="1"/>
    <xf numFmtId="3" fontId="2" fillId="2" borderId="10" xfId="0" applyNumberFormat="1" applyFont="1" applyFill="1" applyBorder="1" applyProtection="1"/>
    <xf numFmtId="3" fontId="2" fillId="2" borderId="15" xfId="0" applyNumberFormat="1" applyFont="1" applyFill="1" applyBorder="1" applyProtection="1"/>
    <xf numFmtId="3" fontId="2" fillId="2" borderId="14" xfId="0" applyNumberFormat="1" applyFont="1" applyFill="1" applyBorder="1" applyProtection="1"/>
    <xf numFmtId="164" fontId="34" fillId="2" borderId="0" xfId="0" applyNumberFormat="1" applyFont="1" applyFill="1" applyBorder="1" applyAlignment="1" applyProtection="1">
      <alignment vertical="center"/>
    </xf>
    <xf numFmtId="0" fontId="2" fillId="2" borderId="13" xfId="0" applyFont="1" applyFill="1" applyBorder="1" applyAlignment="1" applyProtection="1">
      <alignment horizontal="center"/>
    </xf>
    <xf numFmtId="0" fontId="24" fillId="2" borderId="1" xfId="0" applyFont="1" applyFill="1" applyBorder="1" applyProtection="1"/>
    <xf numFmtId="0" fontId="4" fillId="2" borderId="1" xfId="0" applyFont="1" applyFill="1" applyBorder="1" applyProtection="1"/>
    <xf numFmtId="0" fontId="25" fillId="2" borderId="1" xfId="0" applyFont="1" applyFill="1" applyBorder="1" applyProtection="1"/>
    <xf numFmtId="0" fontId="25" fillId="2" borderId="12" xfId="0" applyFont="1" applyFill="1" applyBorder="1" applyProtection="1"/>
    <xf numFmtId="0" fontId="2" fillId="2" borderId="6" xfId="0" applyFont="1" applyFill="1" applyBorder="1" applyAlignment="1" applyProtection="1">
      <alignment horizontal="center"/>
    </xf>
    <xf numFmtId="0" fontId="11" fillId="2" borderId="8" xfId="0" applyFont="1" applyFill="1" applyBorder="1" applyAlignment="1" applyProtection="1">
      <alignment horizontal="right"/>
    </xf>
    <xf numFmtId="4" fontId="2" fillId="2" borderId="6" xfId="0" applyNumberFormat="1" applyFont="1" applyFill="1" applyBorder="1" applyAlignment="1" applyProtection="1">
      <alignment horizontal="right"/>
    </xf>
    <xf numFmtId="4" fontId="2" fillId="2" borderId="8" xfId="0" applyNumberFormat="1" applyFont="1" applyFill="1" applyBorder="1" applyAlignment="1" applyProtection="1">
      <alignment horizontal="right"/>
    </xf>
    <xf numFmtId="0" fontId="34" fillId="2" borderId="10" xfId="0" applyFont="1" applyFill="1" applyBorder="1" applyAlignment="1" applyProtection="1">
      <alignment horizontal="right" vertical="center"/>
    </xf>
    <xf numFmtId="3" fontId="34" fillId="2" borderId="22" xfId="0" applyNumberFormat="1" applyFont="1" applyFill="1" applyBorder="1" applyAlignment="1" applyProtection="1">
      <alignment horizontal="right" vertical="center"/>
    </xf>
    <xf numFmtId="3" fontId="34" fillId="2" borderId="0" xfId="0" applyNumberFormat="1" applyFont="1" applyFill="1" applyBorder="1" applyAlignment="1" applyProtection="1">
      <alignment horizontal="right" vertical="center"/>
    </xf>
    <xf numFmtId="0" fontId="2" fillId="2" borderId="0" xfId="0" applyFont="1" applyFill="1" applyBorder="1" applyAlignment="1" applyProtection="1">
      <alignment horizontal="center"/>
    </xf>
    <xf numFmtId="0" fontId="11" fillId="2" borderId="10" xfId="0" applyFont="1" applyFill="1" applyBorder="1" applyAlignment="1" applyProtection="1">
      <alignment horizontal="right"/>
    </xf>
    <xf numFmtId="3" fontId="2" fillId="2" borderId="0" xfId="0" applyNumberFormat="1" applyFont="1" applyFill="1" applyBorder="1" applyAlignment="1" applyProtection="1">
      <alignment horizontal="right"/>
    </xf>
    <xf numFmtId="3" fontId="2" fillId="2" borderId="10" xfId="0" applyNumberFormat="1" applyFont="1" applyFill="1" applyBorder="1" applyAlignment="1" applyProtection="1">
      <alignment horizontal="right"/>
    </xf>
    <xf numFmtId="0" fontId="2" fillId="2" borderId="15" xfId="0" applyFont="1" applyFill="1" applyBorder="1" applyAlignment="1" applyProtection="1">
      <alignment horizontal="center"/>
    </xf>
    <xf numFmtId="0" fontId="11" fillId="2" borderId="14" xfId="0" applyFont="1" applyFill="1" applyBorder="1" applyAlignment="1" applyProtection="1">
      <alignment horizontal="right"/>
    </xf>
    <xf numFmtId="3" fontId="2" fillId="2" borderId="15" xfId="0" applyNumberFormat="1" applyFont="1" applyFill="1" applyBorder="1" applyAlignment="1" applyProtection="1">
      <alignment horizontal="right"/>
    </xf>
    <xf numFmtId="3" fontId="2" fillId="2" borderId="14" xfId="0" applyNumberFormat="1" applyFont="1" applyFill="1" applyBorder="1" applyAlignment="1" applyProtection="1">
      <alignment horizontal="right"/>
    </xf>
    <xf numFmtId="166" fontId="34" fillId="2" borderId="22" xfId="0" applyNumberFormat="1" applyFont="1" applyFill="1" applyBorder="1" applyAlignment="1" applyProtection="1">
      <alignment horizontal="right" vertical="center"/>
    </xf>
    <xf numFmtId="0" fontId="35" fillId="0" borderId="0" xfId="0" applyFont="1" applyProtection="1"/>
    <xf numFmtId="0" fontId="3" fillId="0" borderId="0" xfId="0" applyFont="1" applyProtection="1"/>
    <xf numFmtId="0" fontId="36" fillId="0" borderId="0" xfId="0" applyFont="1" applyProtection="1"/>
    <xf numFmtId="0" fontId="37" fillId="0" borderId="0" xfId="0" applyFont="1" applyProtection="1"/>
    <xf numFmtId="0" fontId="38" fillId="0" borderId="0" xfId="0" applyFont="1" applyProtection="1"/>
    <xf numFmtId="0" fontId="22" fillId="0" borderId="0" xfId="0" applyFont="1" applyProtection="1"/>
    <xf numFmtId="0" fontId="6" fillId="0" borderId="0" xfId="0" applyFont="1" applyBorder="1" applyProtection="1"/>
    <xf numFmtId="0" fontId="33" fillId="0" borderId="0" xfId="0" applyFont="1" applyProtection="1"/>
    <xf numFmtId="0" fontId="4" fillId="0" borderId="0" xfId="0" applyFont="1" applyAlignment="1" applyProtection="1">
      <alignment horizontal="center" wrapText="1"/>
    </xf>
    <xf numFmtId="0" fontId="4" fillId="0" borderId="0" xfId="0" applyFont="1" applyBorder="1" applyAlignment="1" applyProtection="1">
      <alignment horizontal="center"/>
    </xf>
    <xf numFmtId="0" fontId="11" fillId="0" borderId="0" xfId="0" applyFont="1" applyAlignment="1" applyProtection="1">
      <alignment horizontal="center"/>
    </xf>
    <xf numFmtId="0" fontId="27" fillId="0" borderId="0" xfId="0" applyFont="1" applyProtection="1"/>
    <xf numFmtId="1" fontId="4" fillId="6" borderId="2" xfId="0" applyNumberFormat="1" applyFont="1" applyFill="1" applyBorder="1" applyAlignment="1" applyProtection="1">
      <alignment horizontal="center"/>
    </xf>
    <xf numFmtId="3" fontId="4" fillId="6" borderId="2"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Border="1" applyProtection="1"/>
    <xf numFmtId="0" fontId="0" fillId="0" borderId="0" xfId="0" applyAlignment="1" applyProtection="1">
      <alignment horizontal="right"/>
    </xf>
    <xf numFmtId="3" fontId="13" fillId="0" borderId="0" xfId="0" applyNumberFormat="1" applyFont="1" applyFill="1" applyBorder="1" applyProtection="1"/>
    <xf numFmtId="0" fontId="0" fillId="0" borderId="0" xfId="0" applyFill="1" applyAlignment="1" applyProtection="1">
      <alignment horizontal="left"/>
    </xf>
    <xf numFmtId="0" fontId="0" fillId="0" borderId="0" xfId="0" applyFill="1" applyAlignment="1" applyProtection="1">
      <alignment horizontal="right"/>
    </xf>
    <xf numFmtId="0" fontId="13" fillId="0" borderId="0" xfId="0" applyFont="1" applyFill="1" applyBorder="1" applyAlignment="1" applyProtection="1">
      <alignment horizontal="center"/>
    </xf>
    <xf numFmtId="0" fontId="0" fillId="0" borderId="25" xfId="0" applyBorder="1" applyProtection="1"/>
    <xf numFmtId="0" fontId="39" fillId="0" borderId="26" xfId="0" applyFont="1" applyBorder="1" applyAlignment="1" applyProtection="1">
      <alignment horizontal="left"/>
    </xf>
    <xf numFmtId="0" fontId="40" fillId="0" borderId="26" xfId="0" applyFont="1" applyBorder="1" applyAlignment="1" applyProtection="1">
      <alignment horizontal="center"/>
    </xf>
    <xf numFmtId="0" fontId="39" fillId="0" borderId="26" xfId="0" applyFont="1" applyBorder="1" applyAlignment="1" applyProtection="1">
      <alignment horizontal="center"/>
    </xf>
    <xf numFmtId="0" fontId="41" fillId="0" borderId="27" xfId="0" applyFont="1" applyBorder="1" applyAlignment="1" applyProtection="1">
      <alignment horizontal="center" vertical="center" wrapText="1"/>
    </xf>
    <xf numFmtId="0" fontId="42" fillId="0" borderId="28" xfId="0" applyFont="1" applyBorder="1" applyAlignment="1" applyProtection="1">
      <alignment horizontal="center" vertical="center" wrapText="1"/>
    </xf>
    <xf numFmtId="0" fontId="39" fillId="0" borderId="0" xfId="0" applyFont="1" applyAlignment="1" applyProtection="1">
      <alignment horizontal="center"/>
    </xf>
    <xf numFmtId="0" fontId="43" fillId="0" borderId="0" xfId="0" applyFont="1" applyProtection="1"/>
    <xf numFmtId="0" fontId="44" fillId="0" borderId="29" xfId="0" applyFont="1" applyBorder="1" applyAlignment="1" applyProtection="1">
      <alignment horizontal="center" vertical="center"/>
    </xf>
    <xf numFmtId="0" fontId="44" fillId="0" borderId="30" xfId="0" applyFont="1" applyBorder="1" applyAlignment="1" applyProtection="1">
      <alignment horizontal="center" vertical="center"/>
    </xf>
    <xf numFmtId="0" fontId="24" fillId="0" borderId="0" xfId="0" applyFont="1" applyBorder="1" applyAlignment="1" applyProtection="1">
      <alignment horizontal="center"/>
    </xf>
    <xf numFmtId="0" fontId="24" fillId="0" borderId="1" xfId="0" applyFont="1" applyBorder="1" applyAlignment="1" applyProtection="1">
      <alignment horizontal="center"/>
    </xf>
    <xf numFmtId="0" fontId="24" fillId="0" borderId="20" xfId="0" applyFont="1" applyBorder="1" applyProtection="1"/>
    <xf numFmtId="0" fontId="11" fillId="0" borderId="6" xfId="0" applyFont="1" applyBorder="1" applyProtection="1"/>
    <xf numFmtId="0" fontId="11" fillId="0" borderId="6" xfId="0" applyFont="1" applyBorder="1" applyAlignment="1" applyProtection="1">
      <alignment horizontal="right"/>
    </xf>
    <xf numFmtId="0" fontId="45" fillId="0" borderId="6" xfId="0" applyFont="1" applyBorder="1" applyProtection="1"/>
    <xf numFmtId="4" fontId="46" fillId="0" borderId="31" xfId="0" applyNumberFormat="1" applyFont="1" applyFill="1" applyBorder="1" applyAlignment="1" applyProtection="1">
      <alignment horizontal="center"/>
    </xf>
    <xf numFmtId="4" fontId="11" fillId="0" borderId="32" xfId="0" applyNumberFormat="1" applyFont="1" applyFill="1" applyBorder="1" applyAlignment="1" applyProtection="1">
      <alignment horizontal="center"/>
    </xf>
    <xf numFmtId="4" fontId="11" fillId="0" borderId="33" xfId="0" applyNumberFormat="1" applyFont="1" applyFill="1" applyBorder="1" applyAlignment="1" applyProtection="1">
      <alignment horizontal="center"/>
    </xf>
    <xf numFmtId="4" fontId="11" fillId="0" borderId="34" xfId="0" applyNumberFormat="1" applyFont="1" applyFill="1" applyBorder="1" applyAlignment="1" applyProtection="1">
      <alignment horizontal="center"/>
    </xf>
    <xf numFmtId="0" fontId="34" fillId="0" borderId="0" xfId="0" applyFont="1" applyBorder="1" applyProtection="1"/>
    <xf numFmtId="0" fontId="22" fillId="0" borderId="0" xfId="0" applyFont="1" applyAlignment="1" applyProtection="1">
      <alignment horizontal="right"/>
    </xf>
    <xf numFmtId="0" fontId="34" fillId="0" borderId="0" xfId="0" applyFont="1" applyProtection="1"/>
    <xf numFmtId="168" fontId="41" fillId="6" borderId="31" xfId="0" applyNumberFormat="1" applyFont="1" applyFill="1" applyBorder="1" applyProtection="1"/>
    <xf numFmtId="168" fontId="42" fillId="6" borderId="32" xfId="0" applyNumberFormat="1" applyFont="1" applyFill="1" applyBorder="1" applyProtection="1"/>
    <xf numFmtId="168" fontId="42" fillId="6" borderId="4" xfId="0" applyNumberFormat="1" applyFont="1" applyFill="1" applyBorder="1" applyProtection="1"/>
    <xf numFmtId="168" fontId="42" fillId="6" borderId="2" xfId="0" applyNumberFormat="1" applyFont="1" applyFill="1" applyBorder="1" applyProtection="1"/>
    <xf numFmtId="168" fontId="34" fillId="6" borderId="2" xfId="0" applyNumberFormat="1" applyFont="1" applyFill="1" applyBorder="1" applyProtection="1"/>
    <xf numFmtId="3" fontId="34" fillId="6" borderId="2" xfId="0" applyNumberFormat="1" applyFont="1" applyFill="1" applyBorder="1" applyProtection="1"/>
    <xf numFmtId="0" fontId="47" fillId="0" borderId="0" xfId="0" applyFont="1" applyProtection="1"/>
    <xf numFmtId="0" fontId="11" fillId="0" borderId="0" xfId="0" applyFont="1" applyFill="1" applyAlignment="1" applyProtection="1">
      <alignment horizontal="left"/>
    </xf>
    <xf numFmtId="0" fontId="4" fillId="0" borderId="0" xfId="0" applyFont="1" applyFill="1" applyProtection="1"/>
    <xf numFmtId="4" fontId="48" fillId="0" borderId="35" xfId="0" applyNumberFormat="1" applyFont="1" applyFill="1" applyBorder="1" applyProtection="1"/>
    <xf numFmtId="164" fontId="49" fillId="0" borderId="36" xfId="0" applyNumberFormat="1" applyFont="1" applyFill="1" applyBorder="1" applyProtection="1"/>
    <xf numFmtId="4" fontId="49" fillId="0" borderId="21" xfId="0" applyNumberFormat="1" applyFont="1" applyFill="1" applyBorder="1" applyProtection="1"/>
    <xf numFmtId="4" fontId="49" fillId="0" borderId="9" xfId="0" applyNumberFormat="1" applyFont="1" applyFill="1" applyBorder="1" applyProtection="1"/>
    <xf numFmtId="168" fontId="13" fillId="0" borderId="0" xfId="0" applyNumberFormat="1" applyFont="1" applyFill="1" applyBorder="1" applyProtection="1"/>
    <xf numFmtId="0" fontId="2" fillId="0" borderId="20" xfId="0" applyFont="1" applyFill="1" applyBorder="1" applyProtection="1"/>
    <xf numFmtId="2" fontId="48" fillId="0" borderId="37" xfId="0" applyNumberFormat="1" applyFont="1" applyBorder="1" applyProtection="1"/>
    <xf numFmtId="2" fontId="49" fillId="0" borderId="30" xfId="0" applyNumberFormat="1" applyFont="1" applyBorder="1" applyProtection="1"/>
    <xf numFmtId="2" fontId="49" fillId="0" borderId="0" xfId="0" applyNumberFormat="1" applyFont="1" applyProtection="1"/>
    <xf numFmtId="2" fontId="0" fillId="0" borderId="0" xfId="0" applyNumberFormat="1" applyProtection="1"/>
    <xf numFmtId="0" fontId="0" fillId="0" borderId="20" xfId="0" applyBorder="1" applyProtection="1"/>
    <xf numFmtId="2" fontId="50" fillId="0" borderId="37" xfId="0" applyNumberFormat="1" applyFont="1" applyBorder="1" applyProtection="1"/>
    <xf numFmtId="2" fontId="51" fillId="0" borderId="30" xfId="0" applyNumberFormat="1" applyFont="1" applyBorder="1" applyProtection="1"/>
    <xf numFmtId="2" fontId="51" fillId="0" borderId="0" xfId="0" applyNumberFormat="1" applyFont="1" applyProtection="1"/>
    <xf numFmtId="2" fontId="47" fillId="0" borderId="0" xfId="0" applyNumberFormat="1" applyFont="1" applyProtection="1"/>
    <xf numFmtId="0" fontId="47" fillId="0" borderId="20" xfId="0" applyFont="1" applyBorder="1" applyProtection="1"/>
    <xf numFmtId="0" fontId="34" fillId="0" borderId="6" xfId="0" applyFont="1" applyFill="1" applyBorder="1" applyProtection="1"/>
    <xf numFmtId="0" fontId="11" fillId="0" borderId="6" xfId="0" applyFont="1" applyFill="1" applyBorder="1" applyAlignment="1" applyProtection="1">
      <alignment horizontal="left"/>
    </xf>
    <xf numFmtId="4" fontId="41" fillId="2" borderId="31" xfId="0" applyNumberFormat="1" applyFont="1" applyFill="1" applyBorder="1" applyProtection="1"/>
    <xf numFmtId="4" fontId="42" fillId="2" borderId="32" xfId="0" applyNumberFormat="1" applyFont="1" applyFill="1" applyBorder="1" applyProtection="1"/>
    <xf numFmtId="4" fontId="42" fillId="2" borderId="4" xfId="0" applyNumberFormat="1" applyFont="1" applyFill="1" applyBorder="1" applyProtection="1"/>
    <xf numFmtId="4" fontId="42" fillId="2" borderId="2" xfId="0" applyNumberFormat="1" applyFont="1" applyFill="1" applyBorder="1" applyProtection="1"/>
    <xf numFmtId="4" fontId="34" fillId="2" borderId="2" xfId="0" applyNumberFormat="1" applyFont="1" applyFill="1" applyBorder="1" applyProtection="1"/>
    <xf numFmtId="4" fontId="34" fillId="2" borderId="38" xfId="0" applyNumberFormat="1" applyFont="1" applyFill="1" applyBorder="1" applyProtection="1"/>
    <xf numFmtId="0" fontId="4" fillId="0" borderId="6" xfId="0" applyFont="1" applyBorder="1" applyProtection="1"/>
    <xf numFmtId="0" fontId="11" fillId="0" borderId="6" xfId="0" applyFont="1" applyBorder="1" applyAlignment="1" applyProtection="1">
      <alignment horizontal="left"/>
    </xf>
    <xf numFmtId="166" fontId="44" fillId="0" borderId="31" xfId="0" applyNumberFormat="1" applyFont="1" applyFill="1" applyBorder="1" applyProtection="1"/>
    <xf numFmtId="166" fontId="52" fillId="0" borderId="32" xfId="0" applyNumberFormat="1" applyFont="1" applyFill="1" applyBorder="1" applyProtection="1"/>
    <xf numFmtId="166" fontId="52" fillId="0" borderId="4" xfId="0" applyNumberFormat="1" applyFont="1" applyFill="1" applyBorder="1" applyProtection="1"/>
    <xf numFmtId="166" fontId="52" fillId="0" borderId="2" xfId="0" applyNumberFormat="1" applyFont="1" applyFill="1" applyBorder="1" applyProtection="1"/>
    <xf numFmtId="166" fontId="53" fillId="0" borderId="2" xfId="0" applyNumberFormat="1" applyFont="1" applyFill="1" applyBorder="1" applyProtection="1"/>
    <xf numFmtId="166" fontId="53" fillId="0" borderId="38" xfId="0" applyNumberFormat="1" applyFont="1" applyFill="1" applyBorder="1" applyProtection="1"/>
    <xf numFmtId="0" fontId="11" fillId="0" borderId="0" xfId="0" applyFont="1" applyFill="1" applyBorder="1" applyProtection="1"/>
    <xf numFmtId="166" fontId="48" fillId="0" borderId="37" xfId="0" applyNumberFormat="1" applyFont="1" applyFill="1" applyBorder="1" applyProtection="1"/>
    <xf numFmtId="166" fontId="49" fillId="0" borderId="30" xfId="0" applyNumberFormat="1" applyFont="1" applyFill="1" applyBorder="1" applyProtection="1"/>
    <xf numFmtId="166" fontId="49" fillId="0" borderId="0" xfId="0" applyNumberFormat="1" applyFont="1" applyFill="1" applyBorder="1" applyProtection="1"/>
    <xf numFmtId="166" fontId="54" fillId="0" borderId="0" xfId="0" applyNumberFormat="1" applyFont="1" applyFill="1" applyBorder="1" applyProtection="1"/>
    <xf numFmtId="0" fontId="11" fillId="0" borderId="0" xfId="0" applyFont="1" applyAlignment="1" applyProtection="1">
      <alignment horizontal="right"/>
    </xf>
    <xf numFmtId="4" fontId="44" fillId="0" borderId="37" xfId="0" applyNumberFormat="1" applyFont="1" applyFill="1" applyBorder="1" applyProtection="1"/>
    <xf numFmtId="4" fontId="52" fillId="0" borderId="30" xfId="0" applyNumberFormat="1" applyFont="1" applyFill="1" applyBorder="1" applyProtection="1"/>
    <xf numFmtId="4" fontId="52" fillId="0" borderId="0" xfId="0" applyNumberFormat="1" applyFont="1" applyFill="1" applyBorder="1" applyProtection="1"/>
    <xf numFmtId="4" fontId="53" fillId="0" borderId="0" xfId="0" applyNumberFormat="1" applyFont="1" applyFill="1" applyBorder="1" applyProtection="1"/>
    <xf numFmtId="0" fontId="2" fillId="0" borderId="20" xfId="0" applyFont="1" applyBorder="1" applyProtection="1"/>
    <xf numFmtId="4" fontId="11" fillId="0" borderId="6" xfId="0" applyNumberFormat="1" applyFont="1" applyFill="1" applyBorder="1" applyAlignment="1" applyProtection="1">
      <alignment horizontal="left"/>
    </xf>
    <xf numFmtId="0" fontId="55" fillId="0" borderId="6" xfId="0" applyFont="1" applyFill="1" applyBorder="1" applyProtection="1"/>
    <xf numFmtId="168" fontId="44" fillId="0" borderId="31" xfId="0" applyNumberFormat="1" applyFont="1" applyFill="1" applyBorder="1" applyProtection="1"/>
    <xf numFmtId="168" fontId="52" fillId="0" borderId="32" xfId="0" applyNumberFormat="1" applyFont="1" applyFill="1" applyBorder="1" applyProtection="1"/>
    <xf numFmtId="168" fontId="52" fillId="0" borderId="4" xfId="0" applyNumberFormat="1" applyFont="1" applyFill="1" applyBorder="1" applyProtection="1"/>
    <xf numFmtId="168" fontId="52" fillId="0" borderId="2" xfId="0" applyNumberFormat="1" applyFont="1" applyFill="1" applyBorder="1" applyProtection="1"/>
    <xf numFmtId="168" fontId="4" fillId="0" borderId="2" xfId="0" applyNumberFormat="1" applyFont="1" applyFill="1" applyBorder="1" applyProtection="1"/>
    <xf numFmtId="4" fontId="11" fillId="0" borderId="0" xfId="0" applyNumberFormat="1" applyFont="1" applyFill="1" applyBorder="1" applyAlignment="1" applyProtection="1">
      <alignment horizontal="left"/>
    </xf>
    <xf numFmtId="0" fontId="55" fillId="0" borderId="0" xfId="0" applyFont="1" applyFill="1" applyBorder="1" applyProtection="1"/>
    <xf numFmtId="3" fontId="44" fillId="0" borderId="31" xfId="0" applyNumberFormat="1" applyFont="1" applyFill="1" applyBorder="1" applyProtection="1"/>
    <xf numFmtId="3" fontId="52" fillId="0" borderId="32" xfId="0" applyNumberFormat="1" applyFont="1" applyFill="1" applyBorder="1" applyProtection="1"/>
    <xf numFmtId="3" fontId="52" fillId="0" borderId="39" xfId="0" applyNumberFormat="1" applyFont="1" applyFill="1" applyBorder="1" applyProtection="1"/>
    <xf numFmtId="3" fontId="4" fillId="0" borderId="39" xfId="0" applyNumberFormat="1" applyFont="1" applyFill="1" applyBorder="1" applyProtection="1"/>
    <xf numFmtId="0" fontId="11" fillId="0" borderId="0" xfId="0" applyFont="1" applyBorder="1" applyProtection="1"/>
    <xf numFmtId="3" fontId="52" fillId="0" borderId="4" xfId="0" applyNumberFormat="1" applyFont="1" applyFill="1" applyBorder="1" applyProtection="1"/>
    <xf numFmtId="3" fontId="52" fillId="0" borderId="2" xfId="0" applyNumberFormat="1" applyFont="1" applyFill="1" applyBorder="1" applyProtection="1"/>
    <xf numFmtId="3" fontId="4" fillId="0" borderId="2" xfId="0" applyNumberFormat="1" applyFont="1" applyFill="1" applyBorder="1" applyProtection="1"/>
    <xf numFmtId="0" fontId="56" fillId="0" borderId="0" xfId="0" applyFont="1" applyProtection="1"/>
    <xf numFmtId="0" fontId="44" fillId="0" borderId="29" xfId="0" applyFont="1" applyBorder="1" applyAlignment="1" applyProtection="1">
      <alignment horizontal="center"/>
    </xf>
    <xf numFmtId="0" fontId="44" fillId="0" borderId="30" xfId="0" applyFont="1" applyBorder="1" applyAlignment="1" applyProtection="1">
      <alignment horizontal="center"/>
    </xf>
    <xf numFmtId="0" fontId="24" fillId="0" borderId="20" xfId="0" applyFont="1" applyFill="1" applyBorder="1" applyProtection="1"/>
    <xf numFmtId="3" fontId="52" fillId="3" borderId="31" xfId="0" applyNumberFormat="1" applyFont="1" applyFill="1" applyBorder="1" applyAlignment="1" applyProtection="1">
      <alignment horizontal="center"/>
      <protection locked="0"/>
    </xf>
    <xf numFmtId="3" fontId="52" fillId="3" borderId="4" xfId="0" applyNumberFormat="1" applyFont="1" applyFill="1" applyBorder="1" applyAlignment="1" applyProtection="1">
      <alignment horizontal="center"/>
      <protection locked="0"/>
    </xf>
    <xf numFmtId="3" fontId="52" fillId="3" borderId="2" xfId="0" applyNumberFormat="1" applyFont="1" applyFill="1" applyBorder="1" applyAlignment="1" applyProtection="1">
      <alignment horizontal="center"/>
      <protection locked="0"/>
    </xf>
    <xf numFmtId="3" fontId="13" fillId="3" borderId="2" xfId="0" applyNumberFormat="1" applyFont="1" applyFill="1" applyBorder="1" applyAlignment="1" applyProtection="1">
      <alignment horizontal="center"/>
      <protection locked="0"/>
    </xf>
    <xf numFmtId="0" fontId="24" fillId="0" borderId="0" xfId="0" applyFont="1" applyBorder="1" applyProtection="1"/>
    <xf numFmtId="0" fontId="22" fillId="0" borderId="0" xfId="0" applyFont="1" applyBorder="1" applyProtection="1"/>
    <xf numFmtId="3" fontId="22" fillId="0" borderId="35" xfId="0" applyNumberFormat="1" applyFont="1" applyBorder="1" applyAlignment="1" applyProtection="1">
      <alignment horizontal="center"/>
    </xf>
    <xf numFmtId="3" fontId="57" fillId="0" borderId="21" xfId="0" applyNumberFormat="1" applyFont="1" applyBorder="1" applyAlignment="1" applyProtection="1">
      <alignment horizontal="center"/>
    </xf>
    <xf numFmtId="3" fontId="57" fillId="0" borderId="9" xfId="0" applyNumberFormat="1" applyFont="1" applyBorder="1" applyAlignment="1" applyProtection="1">
      <alignment horizontal="center"/>
    </xf>
    <xf numFmtId="3" fontId="22" fillId="0" borderId="9" xfId="0" applyNumberFormat="1" applyFont="1" applyBorder="1" applyAlignment="1" applyProtection="1">
      <alignment horizontal="center"/>
    </xf>
    <xf numFmtId="3" fontId="58" fillId="0" borderId="37" xfId="0" applyNumberFormat="1" applyFont="1" applyBorder="1" applyAlignment="1" applyProtection="1">
      <alignment horizontal="center"/>
    </xf>
    <xf numFmtId="3" fontId="57" fillId="0" borderId="30" xfId="0" applyNumberFormat="1" applyFont="1" applyBorder="1" applyAlignment="1" applyProtection="1">
      <alignment horizontal="center"/>
    </xf>
    <xf numFmtId="3" fontId="57" fillId="0" borderId="20" xfId="0" applyNumberFormat="1" applyFont="1" applyBorder="1" applyAlignment="1" applyProtection="1">
      <alignment horizontal="center"/>
    </xf>
    <xf numFmtId="3" fontId="57" fillId="0" borderId="11" xfId="0" applyNumberFormat="1" applyFont="1" applyBorder="1" applyAlignment="1" applyProtection="1">
      <alignment horizontal="center"/>
    </xf>
    <xf numFmtId="3" fontId="22" fillId="0" borderId="11" xfId="0" applyNumberFormat="1" applyFont="1" applyBorder="1" applyAlignment="1" applyProtection="1">
      <alignment horizontal="center"/>
    </xf>
    <xf numFmtId="0" fontId="59" fillId="0" borderId="20" xfId="0" applyFont="1" applyBorder="1" applyProtection="1"/>
    <xf numFmtId="0" fontId="59" fillId="0" borderId="0" xfId="0" applyFont="1" applyBorder="1" applyProtection="1"/>
    <xf numFmtId="1" fontId="44" fillId="0" borderId="37" xfId="0" applyNumberFormat="1" applyFont="1" applyBorder="1" applyAlignment="1" applyProtection="1">
      <alignment horizontal="center"/>
    </xf>
    <xf numFmtId="1" fontId="52" fillId="0" borderId="30" xfId="0" applyNumberFormat="1" applyFont="1" applyBorder="1" applyAlignment="1" applyProtection="1">
      <alignment horizontal="center"/>
    </xf>
    <xf numFmtId="1" fontId="52" fillId="0" borderId="0" xfId="0" applyNumberFormat="1" applyFont="1" applyBorder="1" applyAlignment="1" applyProtection="1">
      <alignment horizontal="center"/>
    </xf>
    <xf numFmtId="1" fontId="24" fillId="0" borderId="0" xfId="0" applyNumberFormat="1" applyFont="1" applyBorder="1" applyAlignment="1" applyProtection="1">
      <alignment horizontal="center"/>
    </xf>
    <xf numFmtId="166" fontId="48" fillId="0" borderId="31" xfId="0" applyNumberFormat="1" applyFont="1" applyFill="1" applyBorder="1" applyProtection="1"/>
    <xf numFmtId="166" fontId="49" fillId="0" borderId="36" xfId="0" applyNumberFormat="1" applyFont="1" applyFill="1" applyBorder="1" applyProtection="1"/>
    <xf numFmtId="166" fontId="52" fillId="3" borderId="40" xfId="0" applyNumberFormat="1" applyFont="1" applyFill="1" applyBorder="1" applyProtection="1">
      <protection locked="0"/>
    </xf>
    <xf numFmtId="166" fontId="52" fillId="3" borderId="41" xfId="0" applyNumberFormat="1" applyFont="1" applyFill="1" applyBorder="1" applyProtection="1">
      <protection locked="0"/>
    </xf>
    <xf numFmtId="166" fontId="2" fillId="0" borderId="2" xfId="0" applyNumberFormat="1" applyFont="1" applyFill="1" applyBorder="1" applyProtection="1"/>
    <xf numFmtId="166" fontId="60" fillId="0" borderId="35" xfId="0" applyNumberFormat="1" applyFont="1" applyFill="1" applyBorder="1" applyProtection="1"/>
    <xf numFmtId="166" fontId="57" fillId="0" borderId="36" xfId="0" applyNumberFormat="1" applyFont="1" applyFill="1" applyBorder="1" applyProtection="1"/>
    <xf numFmtId="166" fontId="57" fillId="0" borderId="21" xfId="0" applyNumberFormat="1" applyFont="1" applyFill="1" applyBorder="1" applyProtection="1"/>
    <xf numFmtId="166" fontId="57" fillId="0" borderId="9" xfId="0" applyNumberFormat="1" applyFont="1" applyFill="1" applyBorder="1" applyProtection="1"/>
    <xf numFmtId="166" fontId="22" fillId="0" borderId="9" xfId="0" applyNumberFormat="1" applyFont="1" applyFill="1" applyBorder="1" applyProtection="1"/>
    <xf numFmtId="0" fontId="22" fillId="0" borderId="20" xfId="0" applyFont="1" applyBorder="1" applyProtection="1"/>
    <xf numFmtId="0" fontId="0" fillId="0" borderId="0" xfId="0" applyFill="1" applyProtection="1"/>
    <xf numFmtId="0" fontId="11" fillId="0" borderId="0" xfId="0" applyFont="1" applyFill="1" applyProtection="1"/>
    <xf numFmtId="166" fontId="0" fillId="0" borderId="0" xfId="0" applyNumberFormat="1" applyFill="1" applyBorder="1" applyProtection="1"/>
    <xf numFmtId="0" fontId="0" fillId="0" borderId="20" xfId="0" applyFill="1" applyBorder="1" applyProtection="1"/>
    <xf numFmtId="1" fontId="48" fillId="3" borderId="31" xfId="0" applyNumberFormat="1" applyFont="1" applyFill="1" applyBorder="1" applyProtection="1"/>
    <xf numFmtId="1" fontId="49" fillId="3" borderId="32" xfId="0" applyNumberFormat="1" applyFont="1" applyFill="1" applyBorder="1" applyProtection="1"/>
    <xf numFmtId="1" fontId="52" fillId="3" borderId="4" xfId="0" applyNumberFormat="1" applyFont="1" applyFill="1" applyBorder="1" applyProtection="1">
      <protection locked="0"/>
    </xf>
    <xf numFmtId="1" fontId="52" fillId="3" borderId="2" xfId="0" applyNumberFormat="1" applyFont="1" applyFill="1" applyBorder="1" applyProtection="1">
      <protection locked="0"/>
    </xf>
    <xf numFmtId="1" fontId="2" fillId="3" borderId="2" xfId="0" applyNumberFormat="1" applyFont="1" applyFill="1" applyBorder="1" applyProtection="1"/>
    <xf numFmtId="2" fontId="2" fillId="3" borderId="2" xfId="0" applyNumberFormat="1" applyFont="1" applyFill="1" applyBorder="1" applyProtection="1"/>
    <xf numFmtId="1" fontId="60" fillId="0" borderId="37" xfId="0" applyNumberFormat="1" applyFont="1" applyBorder="1" applyProtection="1"/>
    <xf numFmtId="1" fontId="57" fillId="0" borderId="30" xfId="0" applyNumberFormat="1" applyFont="1" applyBorder="1" applyProtection="1"/>
    <xf numFmtId="1" fontId="57" fillId="0" borderId="20" xfId="0" applyNumberFormat="1" applyFont="1" applyBorder="1" applyProtection="1"/>
    <xf numFmtId="1" fontId="57" fillId="0" borderId="11" xfId="0" applyNumberFormat="1" applyFont="1" applyBorder="1" applyProtection="1"/>
    <xf numFmtId="1" fontId="22" fillId="0" borderId="11" xfId="0" applyNumberFormat="1" applyFont="1" applyBorder="1" applyProtection="1"/>
    <xf numFmtId="2" fontId="22" fillId="0" borderId="11" xfId="0" applyNumberFormat="1" applyFont="1" applyBorder="1" applyProtection="1"/>
    <xf numFmtId="4" fontId="60" fillId="0" borderId="37" xfId="0" applyNumberFormat="1" applyFont="1" applyBorder="1" applyProtection="1"/>
    <xf numFmtId="4" fontId="57" fillId="0" borderId="30" xfId="0" applyNumberFormat="1" applyFont="1" applyBorder="1" applyProtection="1"/>
    <xf numFmtId="4" fontId="57" fillId="0" borderId="20" xfId="0" applyNumberFormat="1" applyFont="1" applyBorder="1" applyProtection="1"/>
    <xf numFmtId="4" fontId="57" fillId="0" borderId="11" xfId="0" applyNumberFormat="1" applyFont="1" applyBorder="1" applyProtection="1"/>
    <xf numFmtId="4" fontId="22" fillId="0" borderId="11" xfId="0" applyNumberFormat="1" applyFont="1" applyBorder="1" applyProtection="1"/>
    <xf numFmtId="0" fontId="22" fillId="0" borderId="6" xfId="0" applyFont="1" applyBorder="1" applyProtection="1"/>
    <xf numFmtId="166" fontId="60" fillId="3" borderId="35" xfId="0" applyNumberFormat="1" applyFont="1" applyFill="1" applyBorder="1" applyProtection="1"/>
    <xf numFmtId="166" fontId="57" fillId="3" borderId="36" xfId="0" applyNumberFormat="1" applyFont="1" applyFill="1" applyBorder="1" applyProtection="1"/>
    <xf numFmtId="166" fontId="57" fillId="3" borderId="21" xfId="0" applyNumberFormat="1" applyFont="1" applyFill="1" applyBorder="1" applyProtection="1"/>
    <xf numFmtId="166" fontId="57" fillId="3" borderId="9" xfId="0" applyNumberFormat="1" applyFont="1" applyFill="1" applyBorder="1" applyProtection="1"/>
    <xf numFmtId="166" fontId="22" fillId="3" borderId="9" xfId="0" applyNumberFormat="1" applyFont="1" applyFill="1" applyBorder="1" applyProtection="1"/>
    <xf numFmtId="3" fontId="60" fillId="0" borderId="37" xfId="0" applyNumberFormat="1" applyFont="1" applyBorder="1" applyProtection="1"/>
    <xf numFmtId="3" fontId="57" fillId="0" borderId="30" xfId="0" applyNumberFormat="1" applyFont="1" applyBorder="1" applyProtection="1"/>
    <xf numFmtId="3" fontId="57" fillId="0" borderId="20" xfId="0" applyNumberFormat="1" applyFont="1" applyBorder="1" applyProtection="1"/>
    <xf numFmtId="3" fontId="57" fillId="0" borderId="11" xfId="0" applyNumberFormat="1" applyFont="1" applyBorder="1" applyProtection="1"/>
    <xf numFmtId="3" fontId="22" fillId="0" borderId="11" xfId="0" applyNumberFormat="1" applyFont="1" applyBorder="1" applyProtection="1"/>
    <xf numFmtId="164" fontId="22" fillId="0" borderId="11" xfId="0" applyNumberFormat="1" applyFont="1" applyBorder="1" applyProtection="1"/>
    <xf numFmtId="0" fontId="60" fillId="0" borderId="37" xfId="0" applyFont="1" applyBorder="1" applyProtection="1"/>
    <xf numFmtId="0" fontId="57" fillId="0" borderId="30" xfId="0" applyFont="1" applyBorder="1" applyProtection="1"/>
    <xf numFmtId="0" fontId="57" fillId="0" borderId="0" xfId="0" applyFont="1" applyProtection="1"/>
    <xf numFmtId="2" fontId="57" fillId="0" borderId="0" xfId="0" applyNumberFormat="1" applyFont="1" applyProtection="1"/>
    <xf numFmtId="2" fontId="22" fillId="0" borderId="0" xfId="0" applyNumberFormat="1" applyFont="1" applyProtection="1"/>
    <xf numFmtId="166" fontId="60" fillId="0" borderId="35" xfId="0" applyNumberFormat="1" applyFont="1" applyBorder="1" applyProtection="1"/>
    <xf numFmtId="166" fontId="57" fillId="0" borderId="36" xfId="0" applyNumberFormat="1" applyFont="1" applyBorder="1" applyProtection="1"/>
    <xf numFmtId="166" fontId="57" fillId="0" borderId="21" xfId="0" applyNumberFormat="1" applyFont="1" applyBorder="1" applyProtection="1"/>
    <xf numFmtId="166" fontId="57" fillId="0" borderId="9" xfId="0" applyNumberFormat="1" applyFont="1" applyBorder="1" applyProtection="1"/>
    <xf numFmtId="166" fontId="22" fillId="0" borderId="9" xfId="0" applyNumberFormat="1" applyFont="1" applyBorder="1" applyProtection="1"/>
    <xf numFmtId="166" fontId="60" fillId="0" borderId="37" xfId="0" applyNumberFormat="1" applyFont="1" applyBorder="1" applyProtection="1"/>
    <xf numFmtId="166" fontId="57" fillId="0" borderId="30" xfId="0" applyNumberFormat="1" applyFont="1" applyBorder="1" applyProtection="1"/>
    <xf numFmtId="166" fontId="57" fillId="0" borderId="20" xfId="0" applyNumberFormat="1" applyFont="1" applyBorder="1" applyProtection="1"/>
    <xf numFmtId="166" fontId="57" fillId="0" borderId="11" xfId="0" applyNumberFormat="1" applyFont="1" applyBorder="1" applyProtection="1"/>
    <xf numFmtId="166" fontId="22" fillId="0" borderId="11" xfId="0" applyNumberFormat="1" applyFont="1" applyBorder="1" applyProtection="1"/>
    <xf numFmtId="166" fontId="22" fillId="3" borderId="11" xfId="0" applyNumberFormat="1" applyFont="1" applyFill="1" applyBorder="1" applyProtection="1"/>
    <xf numFmtId="0" fontId="5" fillId="0" borderId="6" xfId="0" applyFont="1" applyBorder="1" applyProtection="1"/>
    <xf numFmtId="167" fontId="48" fillId="0" borderId="35" xfId="0" applyNumberFormat="1" applyFont="1" applyBorder="1" applyProtection="1"/>
    <xf numFmtId="167" fontId="49" fillId="0" borderId="36" xfId="0" applyNumberFormat="1" applyFont="1" applyBorder="1" applyProtection="1"/>
    <xf numFmtId="167" fontId="49" fillId="0" borderId="21" xfId="0" applyNumberFormat="1" applyFont="1" applyBorder="1" applyProtection="1"/>
    <xf numFmtId="167" fontId="49" fillId="0" borderId="9" xfId="0" applyNumberFormat="1" applyFont="1" applyBorder="1" applyProtection="1"/>
    <xf numFmtId="167" fontId="2" fillId="0" borderId="9" xfId="0" applyNumberFormat="1" applyFont="1" applyBorder="1" applyProtection="1"/>
    <xf numFmtId="0" fontId="5" fillId="0" borderId="1" xfId="0" applyFont="1" applyBorder="1" applyProtection="1"/>
    <xf numFmtId="0" fontId="22" fillId="0" borderId="1" xfId="0" applyFont="1" applyBorder="1" applyProtection="1"/>
    <xf numFmtId="0" fontId="2" fillId="0" borderId="1" xfId="0" applyFont="1" applyBorder="1" applyProtection="1"/>
    <xf numFmtId="3" fontId="48" fillId="0" borderId="42" xfId="0" applyNumberFormat="1" applyFont="1" applyBorder="1" applyProtection="1"/>
    <xf numFmtId="3" fontId="49" fillId="0" borderId="43" xfId="0" applyNumberFormat="1" applyFont="1" applyBorder="1" applyProtection="1"/>
    <xf numFmtId="3" fontId="49" fillId="0" borderId="24" xfId="0" applyNumberFormat="1" applyFont="1" applyBorder="1" applyProtection="1"/>
    <xf numFmtId="3" fontId="49" fillId="0" borderId="13" xfId="0" applyNumberFormat="1" applyFont="1" applyBorder="1" applyProtection="1"/>
    <xf numFmtId="3" fontId="2" fillId="0" borderId="13" xfId="0" applyNumberFormat="1" applyFont="1" applyBorder="1" applyProtection="1"/>
    <xf numFmtId="167" fontId="2" fillId="0" borderId="0" xfId="0" applyNumberFormat="1" applyFont="1" applyProtection="1"/>
    <xf numFmtId="167" fontId="2" fillId="0" borderId="21" xfId="0" applyNumberFormat="1" applyFont="1" applyBorder="1" applyProtection="1"/>
    <xf numFmtId="167" fontId="4" fillId="0" borderId="9" xfId="0" applyNumberFormat="1" applyFont="1" applyBorder="1" applyProtection="1"/>
    <xf numFmtId="167" fontId="2" fillId="0" borderId="24" xfId="0" applyNumberFormat="1" applyFont="1" applyBorder="1" applyProtection="1"/>
    <xf numFmtId="167" fontId="2" fillId="0" borderId="13" xfId="0" applyNumberFormat="1" applyFont="1" applyBorder="1" applyProtection="1"/>
    <xf numFmtId="2" fontId="2" fillId="0" borderId="6" xfId="0" applyNumberFormat="1" applyFont="1" applyBorder="1" applyProtection="1"/>
    <xf numFmtId="2" fontId="2" fillId="0" borderId="21" xfId="0" applyNumberFormat="1" applyFont="1" applyBorder="1" applyProtection="1"/>
    <xf numFmtId="2" fontId="2" fillId="0" borderId="9" xfId="0" applyNumberFormat="1" applyFont="1" applyBorder="1" applyProtection="1"/>
    <xf numFmtId="167" fontId="2" fillId="0" borderId="1" xfId="0" applyNumberFormat="1" applyFont="1" applyBorder="1" applyProtection="1"/>
    <xf numFmtId="1" fontId="2" fillId="0" borderId="13" xfId="0" applyNumberFormat="1" applyFont="1" applyBorder="1" applyProtection="1"/>
    <xf numFmtId="0" fontId="22" fillId="0" borderId="0" xfId="0" applyFont="1" applyFill="1" applyBorder="1" applyProtection="1"/>
    <xf numFmtId="0" fontId="27" fillId="0" borderId="0" xfId="0" applyFont="1" applyFill="1" applyBorder="1" applyProtection="1"/>
    <xf numFmtId="0" fontId="4" fillId="0" borderId="0" xfId="0" applyFont="1" applyFill="1" applyBorder="1" applyProtection="1"/>
    <xf numFmtId="4" fontId="4" fillId="0" borderId="0" xfId="0" applyNumberFormat="1"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xf>
    <xf numFmtId="2" fontId="2" fillId="0" borderId="0" xfId="0" applyNumberFormat="1" applyFont="1" applyFill="1" applyBorder="1" applyProtection="1"/>
    <xf numFmtId="3" fontId="2" fillId="0" borderId="0" xfId="0" applyNumberFormat="1" applyFont="1" applyFill="1" applyBorder="1" applyProtection="1"/>
    <xf numFmtId="3" fontId="4" fillId="0" borderId="0" xfId="0" applyNumberFormat="1" applyFont="1" applyFill="1" applyBorder="1" applyProtection="1"/>
    <xf numFmtId="0" fontId="33" fillId="0" borderId="0" xfId="0" applyFont="1" applyFill="1" applyBorder="1" applyProtection="1"/>
    <xf numFmtId="167" fontId="4" fillId="0" borderId="0" xfId="0" applyNumberFormat="1" applyFont="1" applyFill="1" applyBorder="1" applyAlignment="1" applyProtection="1">
      <alignment horizontal="center"/>
    </xf>
    <xf numFmtId="167" fontId="2" fillId="0" borderId="0" xfId="0" applyNumberFormat="1" applyFont="1" applyFill="1" applyBorder="1" applyProtection="1"/>
    <xf numFmtId="167" fontId="4" fillId="0" borderId="0" xfId="0" applyNumberFormat="1" applyFont="1" applyFill="1" applyBorder="1" applyProtection="1"/>
    <xf numFmtId="1" fontId="4" fillId="0" borderId="0" xfId="0" applyNumberFormat="1" applyFont="1" applyFill="1" applyBorder="1" applyProtection="1"/>
    <xf numFmtId="0" fontId="61" fillId="0" borderId="0" xfId="0" applyFont="1"/>
    <xf numFmtId="0" fontId="3" fillId="0" borderId="0" xfId="0" applyFont="1" applyAlignment="1"/>
    <xf numFmtId="0" fontId="62" fillId="0" borderId="0" xfId="0" applyFont="1" applyAlignment="1"/>
    <xf numFmtId="0" fontId="0" fillId="0" borderId="3" xfId="0" applyBorder="1"/>
    <xf numFmtId="0" fontId="0" fillId="0" borderId="39" xfId="0" applyBorder="1"/>
    <xf numFmtId="0" fontId="4" fillId="0" borderId="39" xfId="0" applyFont="1" applyBorder="1"/>
    <xf numFmtId="0" fontId="0" fillId="0" borderId="4" xfId="0" applyBorder="1"/>
    <xf numFmtId="0" fontId="0" fillId="0" borderId="23" xfId="0" applyBorder="1" applyAlignment="1">
      <alignment horizontal="center"/>
    </xf>
    <xf numFmtId="0" fontId="2" fillId="0" borderId="23" xfId="0" applyFont="1" applyBorder="1" applyAlignment="1">
      <alignment horizontal="center"/>
    </xf>
    <xf numFmtId="165" fontId="0" fillId="0" borderId="2" xfId="0" applyNumberFormat="1" applyBorder="1" applyAlignment="1">
      <alignment horizontal="right"/>
    </xf>
    <xf numFmtId="0" fontId="4" fillId="0" borderId="3" xfId="0" applyFont="1" applyBorder="1"/>
    <xf numFmtId="0" fontId="2" fillId="0" borderId="23" xfId="0" applyFont="1" applyBorder="1"/>
    <xf numFmtId="10" fontId="0" fillId="0" borderId="2" xfId="0" applyNumberFormat="1" applyBorder="1" applyAlignment="1">
      <alignment horizontal="center"/>
    </xf>
    <xf numFmtId="0" fontId="62" fillId="0" borderId="0" xfId="0" applyFont="1" applyAlignment="1">
      <alignment horizontal="left"/>
    </xf>
    <xf numFmtId="0" fontId="61" fillId="0" borderId="0" xfId="0" applyFont="1" applyAlignment="1">
      <alignment horizontal="left"/>
    </xf>
    <xf numFmtId="166" fontId="4" fillId="6" borderId="0" xfId="0" applyNumberFormat="1" applyFont="1" applyFill="1"/>
    <xf numFmtId="3" fontId="4" fillId="6" borderId="0" xfId="0" applyNumberFormat="1" applyFont="1" applyFill="1"/>
    <xf numFmtId="9" fontId="4" fillId="6" borderId="0" xfId="0" applyNumberFormat="1" applyFont="1" applyFill="1"/>
    <xf numFmtId="0" fontId="0" fillId="0" borderId="39" xfId="0" applyBorder="1" applyAlignment="1">
      <alignment horizontal="center" vertical="center" wrapText="1"/>
    </xf>
    <xf numFmtId="0" fontId="0" fillId="0" borderId="39" xfId="0" applyBorder="1" applyAlignment="1">
      <alignment horizontal="center" vertical="center"/>
    </xf>
    <xf numFmtId="0" fontId="0" fillId="0" borderId="39" xfId="0" applyBorder="1" applyAlignment="1">
      <alignment vertical="center"/>
    </xf>
    <xf numFmtId="0" fontId="4" fillId="0" borderId="39" xfId="0" applyFont="1" applyBorder="1" applyAlignment="1">
      <alignment horizontal="center" wrapText="1"/>
    </xf>
    <xf numFmtId="3" fontId="0" fillId="6" borderId="0" xfId="0" applyNumberFormat="1" applyFill="1" applyBorder="1" applyAlignment="1">
      <alignment horizontal="center"/>
    </xf>
    <xf numFmtId="3" fontId="0" fillId="0" borderId="0" xfId="0" applyNumberFormat="1"/>
    <xf numFmtId="3" fontId="0" fillId="0" borderId="0" xfId="0" applyNumberFormat="1" applyAlignment="1">
      <alignment horizontal="center"/>
    </xf>
    <xf numFmtId="3" fontId="0" fillId="0" borderId="0" xfId="0" applyNumberFormat="1" applyBorder="1" applyAlignment="1">
      <alignment horizontal="center"/>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vertical="center" wrapText="1"/>
    </xf>
    <xf numFmtId="0" fontId="2" fillId="0" borderId="39" xfId="0" applyFont="1" applyBorder="1" applyAlignment="1">
      <alignment horizontal="center" vertical="center" wrapText="1"/>
    </xf>
    <xf numFmtId="0" fontId="4" fillId="0" borderId="39" xfId="0" applyFont="1" applyBorder="1" applyAlignment="1">
      <alignment horizontal="center" vertical="center" wrapText="1"/>
    </xf>
    <xf numFmtId="3" fontId="0" fillId="6" borderId="23" xfId="0" applyNumberFormat="1" applyFill="1" applyBorder="1" applyAlignment="1">
      <alignment horizontal="center"/>
    </xf>
    <xf numFmtId="0" fontId="62" fillId="0" borderId="0" xfId="0" applyFont="1"/>
    <xf numFmtId="0" fontId="54" fillId="0" borderId="0" xfId="0" applyFont="1"/>
    <xf numFmtId="0" fontId="3" fillId="0" borderId="0" xfId="0" applyFont="1" applyAlignment="1">
      <alignment horizontal="left"/>
    </xf>
    <xf numFmtId="0" fontId="63" fillId="0" borderId="0" xfId="0" applyFont="1" applyAlignment="1">
      <alignment horizontal="centerContinuous"/>
    </xf>
    <xf numFmtId="0" fontId="0" fillId="0" borderId="0" xfId="0" applyAlignment="1">
      <alignment horizontal="centerContinuous"/>
    </xf>
    <xf numFmtId="0" fontId="4" fillId="7" borderId="2" xfId="0" applyFont="1" applyFill="1" applyBorder="1"/>
    <xf numFmtId="0" fontId="4" fillId="8" borderId="2" xfId="0" applyFont="1" applyFill="1" applyBorder="1"/>
    <xf numFmtId="0" fontId="4" fillId="9" borderId="2" xfId="0" applyFont="1" applyFill="1" applyBorder="1"/>
    <xf numFmtId="3" fontId="64" fillId="0" borderId="2" xfId="0" applyNumberFormat="1" applyFont="1" applyBorder="1"/>
    <xf numFmtId="3" fontId="4" fillId="7" borderId="2" xfId="0" applyNumberFormat="1" applyFont="1" applyFill="1" applyBorder="1"/>
    <xf numFmtId="3" fontId="4" fillId="0" borderId="2" xfId="0" applyNumberFormat="1" applyFont="1" applyBorder="1"/>
    <xf numFmtId="3" fontId="4" fillId="8" borderId="2" xfId="0" applyNumberFormat="1" applyFont="1" applyFill="1" applyBorder="1"/>
    <xf numFmtId="3" fontId="4" fillId="9" borderId="2" xfId="0" applyNumberFormat="1" applyFont="1" applyFill="1" applyBorder="1"/>
    <xf numFmtId="3" fontId="2" fillId="0" borderId="2" xfId="0" applyNumberFormat="1" applyFont="1" applyFill="1" applyBorder="1"/>
    <xf numFmtId="164" fontId="2" fillId="0" borderId="2" xfId="0" applyNumberFormat="1" applyFont="1" applyBorder="1"/>
    <xf numFmtId="164" fontId="4" fillId="7" borderId="2" xfId="0" applyNumberFormat="1" applyFont="1" applyFill="1" applyBorder="1"/>
    <xf numFmtId="164" fontId="4" fillId="0" borderId="2" xfId="0" applyNumberFormat="1" applyFont="1" applyBorder="1"/>
    <xf numFmtId="164" fontId="4" fillId="8" borderId="2" xfId="0" applyNumberFormat="1" applyFont="1" applyFill="1" applyBorder="1"/>
    <xf numFmtId="164" fontId="4" fillId="9" borderId="2" xfId="0" applyNumberFormat="1" applyFont="1" applyFill="1" applyBorder="1"/>
    <xf numFmtId="166" fontId="4" fillId="0" borderId="2" xfId="0" applyNumberFormat="1" applyFont="1" applyBorder="1"/>
    <xf numFmtId="166" fontId="4" fillId="8" borderId="2" xfId="0" applyNumberFormat="1" applyFont="1" applyFill="1" applyBorder="1"/>
    <xf numFmtId="166" fontId="4" fillId="9" borderId="2" xfId="0" applyNumberFormat="1" applyFont="1" applyFill="1" applyBorder="1"/>
    <xf numFmtId="9" fontId="4" fillId="7" borderId="2" xfId="0" applyNumberFormat="1" applyFont="1" applyFill="1" applyBorder="1"/>
    <xf numFmtId="9" fontId="4" fillId="0" borderId="2" xfId="0" applyNumberFormat="1" applyFont="1" applyBorder="1"/>
    <xf numFmtId="9" fontId="4" fillId="8" borderId="2" xfId="2" applyFont="1" applyFill="1" applyBorder="1"/>
    <xf numFmtId="9" fontId="4" fillId="0" borderId="2" xfId="2" applyFont="1" applyBorder="1"/>
    <xf numFmtId="9" fontId="4" fillId="9" borderId="2" xfId="0" applyNumberFormat="1" applyFont="1" applyFill="1" applyBorder="1"/>
    <xf numFmtId="0" fontId="62" fillId="0" borderId="0" xfId="0" applyFont="1" applyAlignment="1">
      <alignment horizontal="left"/>
    </xf>
    <xf numFmtId="0" fontId="65" fillId="0" borderId="0" xfId="0" applyFont="1"/>
    <xf numFmtId="0" fontId="66" fillId="0" borderId="0" xfId="0" applyFont="1"/>
    <xf numFmtId="0" fontId="65" fillId="0" borderId="0" xfId="0" applyFont="1" applyBorder="1"/>
    <xf numFmtId="0" fontId="66" fillId="0" borderId="0" xfId="0" applyFont="1" applyFill="1" applyBorder="1"/>
    <xf numFmtId="0" fontId="65" fillId="0" borderId="0" xfId="0" applyFont="1" applyAlignment="1">
      <alignment vertical="top"/>
    </xf>
    <xf numFmtId="0" fontId="65" fillId="0" borderId="0" xfId="0" applyFont="1" applyAlignment="1">
      <alignment horizontal="right"/>
    </xf>
    <xf numFmtId="0" fontId="67" fillId="0" borderId="0" xfId="0" applyFont="1" applyAlignment="1"/>
    <xf numFmtId="0" fontId="68" fillId="0" borderId="0" xfId="1" applyFont="1" applyAlignment="1" applyProtection="1"/>
    <xf numFmtId="0" fontId="65" fillId="0" borderId="0" xfId="0" applyFont="1" applyAlignment="1"/>
    <xf numFmtId="0" fontId="69" fillId="0" borderId="0" xfId="1" applyFont="1" applyAlignment="1" applyProtection="1"/>
    <xf numFmtId="0" fontId="15" fillId="0" borderId="0" xfId="1" applyFont="1" applyAlignment="1" applyProtection="1"/>
    <xf numFmtId="0" fontId="71" fillId="0" borderId="0" xfId="0" applyFont="1"/>
    <xf numFmtId="0" fontId="72" fillId="0" borderId="0" xfId="0" applyFont="1" applyAlignment="1"/>
    <xf numFmtId="0" fontId="47" fillId="0" borderId="0" xfId="0" applyFont="1"/>
    <xf numFmtId="0" fontId="47" fillId="0" borderId="0" xfId="0" applyFont="1" applyBorder="1"/>
    <xf numFmtId="0" fontId="73" fillId="0" borderId="0" xfId="0" applyFont="1"/>
    <xf numFmtId="0" fontId="0" fillId="0" borderId="0" xfId="0" applyAlignment="1">
      <alignment horizontal="right"/>
    </xf>
    <xf numFmtId="2" fontId="2" fillId="0" borderId="0" xfId="0" applyNumberFormat="1" applyFont="1" applyFill="1" applyBorder="1" applyAlignment="1">
      <alignment horizontal="right"/>
    </xf>
    <xf numFmtId="2" fontId="0" fillId="0" borderId="0" xfId="0" applyNumberFormat="1" applyAlignment="1">
      <alignment horizontal="right"/>
    </xf>
    <xf numFmtId="0" fontId="0" fillId="0" borderId="0" xfId="0" applyFill="1" applyBorder="1" applyAlignment="1">
      <alignment horizontal="right"/>
    </xf>
    <xf numFmtId="0" fontId="0" fillId="3" borderId="2" xfId="0" applyFont="1" applyFill="1" applyBorder="1" applyAlignment="1">
      <alignment horizontal="center"/>
    </xf>
    <xf numFmtId="0" fontId="0" fillId="0" borderId="2" xfId="0" applyFont="1" applyBorder="1" applyAlignment="1">
      <alignment horizontal="center"/>
    </xf>
    <xf numFmtId="169" fontId="0"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0" fillId="0" borderId="0" xfId="0" applyNumberFormat="1" applyAlignment="1">
      <alignment horizontal="right"/>
    </xf>
    <xf numFmtId="169" fontId="0" fillId="0" borderId="0" xfId="0" applyNumberFormat="1"/>
    <xf numFmtId="169" fontId="0" fillId="8" borderId="0" xfId="0" applyNumberFormat="1" applyFont="1" applyFill="1" applyBorder="1" applyAlignment="1">
      <alignment horizontal="left"/>
    </xf>
    <xf numFmtId="0" fontId="0" fillId="8" borderId="0" xfId="0" applyFill="1" applyBorder="1" applyAlignment="1">
      <alignment horizontal="right"/>
    </xf>
    <xf numFmtId="169" fontId="0" fillId="8" borderId="0" xfId="0" applyNumberFormat="1" applyFont="1" applyFill="1" applyBorder="1" applyAlignment="1">
      <alignment horizontal="right"/>
    </xf>
    <xf numFmtId="169" fontId="0" fillId="8" borderId="0" xfId="0" applyNumberFormat="1" applyFill="1" applyAlignment="1">
      <alignment horizontal="right"/>
    </xf>
    <xf numFmtId="169" fontId="0" fillId="8" borderId="0" xfId="0" applyNumberFormat="1" applyFill="1"/>
    <xf numFmtId="2" fontId="0" fillId="0" borderId="0" xfId="0" applyNumberFormat="1" applyAlignment="1">
      <alignment horizontal="left"/>
    </xf>
    <xf numFmtId="0" fontId="0" fillId="0" borderId="39" xfId="0" applyBorder="1" applyProtection="1"/>
    <xf numFmtId="0" fontId="11" fillId="0" borderId="39" xfId="0" applyFont="1" applyBorder="1" applyProtection="1"/>
    <xf numFmtId="2" fontId="48" fillId="0" borderId="31" xfId="0" applyNumberFormat="1" applyFont="1" applyBorder="1" applyProtection="1"/>
    <xf numFmtId="2" fontId="49" fillId="0" borderId="32" xfId="0" applyNumberFormat="1" applyFont="1" applyBorder="1" applyProtection="1"/>
    <xf numFmtId="2" fontId="49" fillId="0" borderId="39" xfId="0" applyNumberFormat="1" applyFont="1" applyBorder="1" applyProtection="1"/>
    <xf numFmtId="2" fontId="0" fillId="0" borderId="39" xfId="0" applyNumberFormat="1" applyBorder="1" applyProtection="1"/>
    <xf numFmtId="0" fontId="0" fillId="0" borderId="33" xfId="0" applyBorder="1" applyProtection="1"/>
    <xf numFmtId="2" fontId="74" fillId="0" borderId="31" xfId="0" applyNumberFormat="1" applyFont="1" applyBorder="1" applyProtection="1"/>
    <xf numFmtId="169" fontId="0" fillId="10" borderId="0" xfId="0" applyNumberFormat="1" applyFont="1" applyFill="1" applyBorder="1" applyAlignment="1">
      <alignment horizontal="right"/>
    </xf>
    <xf numFmtId="0" fontId="0" fillId="0" borderId="2" xfId="0" applyFont="1" applyBorder="1" applyAlignment="1">
      <alignment horizontal="center" wrapText="1"/>
    </xf>
    <xf numFmtId="0" fontId="0" fillId="0" borderId="0" xfId="0" applyBorder="1" applyAlignment="1">
      <alignment horizontal="right"/>
    </xf>
    <xf numFmtId="2" fontId="0" fillId="0" borderId="0" xfId="0" applyNumberFormat="1"/>
    <xf numFmtId="0" fontId="77" fillId="0" borderId="0" xfId="0" applyFont="1"/>
    <xf numFmtId="0" fontId="0" fillId="0" borderId="0" xfId="0" applyFont="1" applyBorder="1"/>
    <xf numFmtId="0" fontId="0" fillId="0" borderId="44" xfId="0" applyBorder="1" applyAlignment="1">
      <alignment horizontal="right"/>
    </xf>
    <xf numFmtId="0" fontId="0" fillId="0" borderId="45" xfId="0" applyFont="1" applyBorder="1" applyAlignment="1">
      <alignment horizontal="right"/>
    </xf>
    <xf numFmtId="0" fontId="0" fillId="0" borderId="45" xfId="0" applyBorder="1" applyAlignment="1">
      <alignment horizontal="right"/>
    </xf>
    <xf numFmtId="1" fontId="4" fillId="5" borderId="2" xfId="0" applyNumberFormat="1" applyFont="1" applyFill="1" applyBorder="1"/>
    <xf numFmtId="165" fontId="77" fillId="5" borderId="48" xfId="0" applyNumberFormat="1" applyFont="1" applyFill="1" applyBorder="1"/>
    <xf numFmtId="165" fontId="77" fillId="5" borderId="49" xfId="0" applyNumberFormat="1" applyFont="1" applyFill="1" applyBorder="1"/>
    <xf numFmtId="1" fontId="4" fillId="5" borderId="23" xfId="0" applyNumberFormat="1" applyFont="1" applyFill="1" applyBorder="1"/>
    <xf numFmtId="0" fontId="0" fillId="0" borderId="51" xfId="0" applyBorder="1"/>
    <xf numFmtId="165" fontId="4" fillId="5" borderId="51" xfId="0" applyNumberFormat="1" applyFont="1" applyFill="1" applyBorder="1"/>
    <xf numFmtId="0" fontId="0" fillId="0" borderId="52" xfId="0" applyBorder="1"/>
    <xf numFmtId="1" fontId="4" fillId="5" borderId="54" xfId="0" applyNumberFormat="1" applyFont="1" applyFill="1" applyBorder="1"/>
    <xf numFmtId="1" fontId="4" fillId="5" borderId="58" xfId="0" applyNumberFormat="1" applyFont="1" applyFill="1" applyBorder="1"/>
    <xf numFmtId="165" fontId="4" fillId="5" borderId="59" xfId="0" applyNumberFormat="1" applyFont="1" applyFill="1" applyBorder="1"/>
    <xf numFmtId="1" fontId="4" fillId="5" borderId="4" xfId="0" applyNumberFormat="1" applyFont="1" applyFill="1" applyBorder="1"/>
    <xf numFmtId="165" fontId="77" fillId="5" borderId="60" xfId="0" applyNumberFormat="1" applyFont="1" applyFill="1" applyBorder="1"/>
    <xf numFmtId="1" fontId="4" fillId="5" borderId="61" xfId="0" applyNumberFormat="1" applyFont="1" applyFill="1" applyBorder="1"/>
    <xf numFmtId="0" fontId="0" fillId="0" borderId="54" xfId="0" applyBorder="1"/>
    <xf numFmtId="0" fontId="77" fillId="0" borderId="49" xfId="0" applyFont="1" applyBorder="1"/>
    <xf numFmtId="0" fontId="0" fillId="0" borderId="56" xfId="0" applyBorder="1"/>
    <xf numFmtId="0" fontId="0" fillId="0" borderId="58" xfId="0" applyBorder="1"/>
    <xf numFmtId="1" fontId="4" fillId="5" borderId="51" xfId="0" applyNumberFormat="1" applyFont="1" applyFill="1" applyBorder="1"/>
    <xf numFmtId="1" fontId="4" fillId="5" borderId="52" xfId="0" applyNumberFormat="1" applyFont="1" applyFill="1" applyBorder="1"/>
    <xf numFmtId="1" fontId="4" fillId="5" borderId="59" xfId="0" applyNumberFormat="1" applyFont="1" applyFill="1" applyBorder="1"/>
    <xf numFmtId="0" fontId="0" fillId="11" borderId="53" xfId="0" applyFill="1" applyBorder="1" applyAlignment="1">
      <alignment horizontal="right"/>
    </xf>
    <xf numFmtId="0" fontId="0" fillId="11" borderId="2" xfId="0" quotePrefix="1" applyFill="1" applyBorder="1" applyAlignment="1">
      <alignment horizontal="right"/>
    </xf>
    <xf numFmtId="0" fontId="0" fillId="11" borderId="55" xfId="0" applyFill="1" applyBorder="1" applyAlignment="1">
      <alignment horizontal="right"/>
    </xf>
    <xf numFmtId="0" fontId="0" fillId="11" borderId="7" xfId="0" quotePrefix="1" applyFill="1" applyBorder="1" applyAlignment="1">
      <alignment horizontal="right"/>
    </xf>
    <xf numFmtId="0" fontId="77" fillId="11" borderId="47" xfId="0" applyFont="1" applyFill="1" applyBorder="1" applyAlignment="1">
      <alignment horizontal="right"/>
    </xf>
    <xf numFmtId="0" fontId="77" fillId="11" borderId="48" xfId="0" applyFont="1" applyFill="1" applyBorder="1" applyAlignment="1">
      <alignment horizontal="right"/>
    </xf>
    <xf numFmtId="0" fontId="0" fillId="11" borderId="50" xfId="0" applyFill="1" applyBorder="1" applyAlignment="1">
      <alignment horizontal="right"/>
    </xf>
    <xf numFmtId="0" fontId="0" fillId="12" borderId="57" xfId="0" applyFill="1" applyBorder="1" applyAlignment="1">
      <alignment horizontal="right"/>
    </xf>
    <xf numFmtId="0" fontId="0" fillId="12" borderId="53" xfId="0" applyFill="1" applyBorder="1" applyAlignment="1">
      <alignment horizontal="right"/>
    </xf>
    <xf numFmtId="0" fontId="0" fillId="12" borderId="2" xfId="0" quotePrefix="1" applyFill="1" applyBorder="1" applyAlignment="1">
      <alignment horizontal="right"/>
    </xf>
    <xf numFmtId="0" fontId="0" fillId="12" borderId="55" xfId="0" applyFill="1" applyBorder="1" applyAlignment="1">
      <alignment horizontal="right"/>
    </xf>
    <xf numFmtId="0" fontId="0" fillId="12" borderId="7" xfId="0" quotePrefix="1" applyFill="1" applyBorder="1" applyAlignment="1">
      <alignment horizontal="right"/>
    </xf>
    <xf numFmtId="0" fontId="77" fillId="12" borderId="47" xfId="0" applyFont="1" applyFill="1" applyBorder="1" applyAlignment="1">
      <alignment horizontal="right"/>
    </xf>
    <xf numFmtId="0" fontId="77" fillId="12" borderId="48" xfId="0" applyFont="1" applyFill="1" applyBorder="1" applyAlignment="1">
      <alignment horizontal="right"/>
    </xf>
    <xf numFmtId="0" fontId="0" fillId="12" borderId="50" xfId="0" applyFill="1" applyBorder="1" applyAlignment="1">
      <alignment horizontal="right"/>
    </xf>
    <xf numFmtId="0" fontId="4" fillId="12" borderId="23" xfId="0" applyFont="1" applyFill="1" applyBorder="1" applyAlignment="1">
      <alignment horizontal="right"/>
    </xf>
    <xf numFmtId="0" fontId="4" fillId="12" borderId="51" xfId="0" applyFont="1" applyFill="1" applyBorder="1" applyAlignment="1">
      <alignment horizontal="right"/>
    </xf>
    <xf numFmtId="0" fontId="4" fillId="11" borderId="51" xfId="0" applyFont="1" applyFill="1" applyBorder="1" applyAlignment="1">
      <alignment horizontal="right"/>
    </xf>
    <xf numFmtId="0" fontId="4" fillId="0" borderId="0" xfId="0" applyFont="1" applyBorder="1"/>
    <xf numFmtId="165" fontId="0" fillId="14" borderId="2" xfId="0" applyNumberFormat="1" applyFill="1" applyBorder="1"/>
    <xf numFmtId="1" fontId="4" fillId="15" borderId="4" xfId="0" applyNumberFormat="1" applyFont="1" applyFill="1" applyBorder="1"/>
    <xf numFmtId="1" fontId="4" fillId="15" borderId="2" xfId="0" applyNumberFormat="1" applyFont="1" applyFill="1" applyBorder="1"/>
    <xf numFmtId="1" fontId="4" fillId="15" borderId="54" xfId="0" applyNumberFormat="1" applyFont="1" applyFill="1" applyBorder="1"/>
    <xf numFmtId="2" fontId="4" fillId="15" borderId="45" xfId="0" applyNumberFormat="1" applyFont="1" applyFill="1" applyBorder="1"/>
    <xf numFmtId="2" fontId="4" fillId="15" borderId="46" xfId="0" applyNumberFormat="1" applyFont="1" applyFill="1" applyBorder="1"/>
    <xf numFmtId="0" fontId="0" fillId="13" borderId="62" xfId="0" applyFill="1" applyBorder="1"/>
    <xf numFmtId="0" fontId="4" fillId="13" borderId="59" xfId="0" applyFont="1" applyFill="1" applyBorder="1" applyAlignment="1">
      <alignment horizontal="right"/>
    </xf>
    <xf numFmtId="0" fontId="0" fillId="13" borderId="63" xfId="0" applyFill="1" applyBorder="1"/>
    <xf numFmtId="0" fontId="0" fillId="13" borderId="4" xfId="0" applyFill="1" applyBorder="1" applyAlignment="1">
      <alignment horizontal="right"/>
    </xf>
    <xf numFmtId="0" fontId="77" fillId="13" borderId="44" xfId="0" applyFont="1" applyFill="1" applyBorder="1" applyAlignment="1">
      <alignment horizontal="right"/>
    </xf>
    <xf numFmtId="0" fontId="77" fillId="13" borderId="60" xfId="0" applyFont="1" applyFill="1" applyBorder="1" applyAlignment="1">
      <alignment horizontal="right"/>
    </xf>
    <xf numFmtId="0" fontId="0" fillId="13" borderId="63" xfId="0" applyFill="1" applyBorder="1" applyAlignment="1">
      <alignment horizontal="right"/>
    </xf>
    <xf numFmtId="0" fontId="4" fillId="13" borderId="4" xfId="0" applyFont="1" applyFill="1" applyBorder="1" applyAlignment="1">
      <alignment horizontal="right"/>
    </xf>
    <xf numFmtId="0" fontId="0" fillId="13" borderId="64" xfId="0" applyFill="1" applyBorder="1"/>
    <xf numFmtId="0" fontId="0" fillId="13" borderId="40" xfId="0" applyFill="1" applyBorder="1" applyAlignment="1">
      <alignment horizontal="right"/>
    </xf>
    <xf numFmtId="0" fontId="0" fillId="13" borderId="65" xfId="0" applyFill="1" applyBorder="1" applyAlignment="1">
      <alignment horizontal="right"/>
    </xf>
    <xf numFmtId="0" fontId="4" fillId="13" borderId="61" xfId="0" applyFont="1" applyFill="1" applyBorder="1" applyAlignment="1">
      <alignment horizontal="right"/>
    </xf>
    <xf numFmtId="0" fontId="1" fillId="0" borderId="0" xfId="0" applyFont="1"/>
    <xf numFmtId="0" fontId="65" fillId="0" borderId="0" xfId="0" applyFont="1" applyAlignment="1">
      <alignment horizontal="center"/>
    </xf>
    <xf numFmtId="0" fontId="70" fillId="0" borderId="0" xfId="0" applyFont="1" applyAlignment="1">
      <alignment horizontal="center"/>
    </xf>
    <xf numFmtId="0" fontId="47" fillId="0" borderId="0" xfId="0" applyFont="1" applyAlignment="1">
      <alignment horizontal="center"/>
    </xf>
    <xf numFmtId="0" fontId="47" fillId="0" borderId="0" xfId="0" applyFont="1" applyBorder="1" applyAlignment="1">
      <alignment horizontal="center"/>
    </xf>
    <xf numFmtId="0" fontId="0" fillId="0" borderId="3"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15" fillId="0" borderId="0" xfId="1" applyFill="1" applyAlignment="1" applyProtection="1">
      <alignment horizontal="center"/>
    </xf>
    <xf numFmtId="0" fontId="2" fillId="0" borderId="3" xfId="0" applyFont="1" applyBorder="1" applyAlignment="1">
      <alignment horizontal="center"/>
    </xf>
    <xf numFmtId="0" fontId="2" fillId="0" borderId="4" xfId="0" applyFont="1" applyBorder="1" applyAlignment="1">
      <alignment horizontal="center"/>
    </xf>
    <xf numFmtId="1" fontId="2" fillId="0" borderId="0" xfId="0" applyNumberFormat="1" applyFont="1" applyBorder="1" applyAlignment="1" applyProtection="1">
      <alignment horizontal="center"/>
    </xf>
    <xf numFmtId="0" fontId="2" fillId="0" borderId="0" xfId="0" applyFont="1" applyAlignment="1">
      <alignment horizontal="left"/>
    </xf>
    <xf numFmtId="0" fontId="62" fillId="0" borderId="0" xfId="0" applyFont="1" applyAlignment="1">
      <alignment horizontal="left"/>
    </xf>
    <xf numFmtId="0" fontId="54"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cellXfs>
  <cellStyles count="3">
    <cellStyle name="Hiperpovezava" xfId="1" builtinId="8"/>
    <cellStyle name="Navadno" xfId="0" builtinId="0"/>
    <cellStyle name="Odstotek 2" xfId="2"/>
  </cellStyles>
  <dxfs count="11">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worksheet" Target="worksheets/sheet10.xml"/><Relationship Id="rId26"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13.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8.xml"/><Relationship Id="rId20" Type="http://schemas.openxmlformats.org/officeDocument/2006/relationships/worksheet" Target="worksheets/sheet1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7.xml"/><Relationship Id="rId23" Type="http://schemas.openxmlformats.org/officeDocument/2006/relationships/worksheet" Target="worksheets/sheet15.xml"/><Relationship Id="rId28" Type="http://schemas.openxmlformats.org/officeDocument/2006/relationships/externalLink" Target="externalLinks/externalLink2.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 Id="rId22" Type="http://schemas.openxmlformats.org/officeDocument/2006/relationships/worksheet" Target="worksheets/sheet14.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Arial"/>
                <a:ea typeface="Arial"/>
                <a:cs typeface="Arial"/>
              </a:defRPr>
            </a:pPr>
            <a:r>
              <a:rPr lang="en-GB" sz="1675" b="1" i="0" u="none" strike="noStrike" baseline="0">
                <a:solidFill>
                  <a:srgbClr val="000090"/>
                </a:solidFill>
                <a:latin typeface="Arial"/>
                <a:cs typeface="Arial"/>
              </a:rPr>
              <a:t>Skupni letni stroški ogrevanja</a:t>
            </a:r>
            <a:r>
              <a:rPr lang="en-GB" sz="1675" b="1" i="0" u="none" strike="noStrike" baseline="0">
                <a:solidFill>
                  <a:srgbClr val="0000D4"/>
                </a:solidFill>
                <a:latin typeface="Arial"/>
                <a:cs typeface="Arial"/>
              </a:rPr>
              <a:t> </a:t>
            </a:r>
          </a:p>
        </c:rich>
      </c:tx>
      <c:layout>
        <c:manualLayout>
          <c:xMode val="edge"/>
          <c:yMode val="edge"/>
          <c:x val="0.35056876938986559"/>
          <c:y val="2.0338983050847456E-2"/>
        </c:manualLayout>
      </c:layout>
      <c:overlay val="0"/>
      <c:spPr>
        <a:noFill/>
        <a:ln w="25400">
          <a:noFill/>
        </a:ln>
      </c:spPr>
    </c:title>
    <c:autoTitleDeleted val="0"/>
    <c:plotArea>
      <c:layout>
        <c:manualLayout>
          <c:layoutTarget val="inner"/>
          <c:xMode val="edge"/>
          <c:yMode val="edge"/>
          <c:x val="0.11076604554865424"/>
          <c:y val="0.1711864406779661"/>
          <c:w val="0.60041407867494823"/>
          <c:h val="0.64294793982948595"/>
        </c:manualLayout>
      </c:layout>
      <c:barChart>
        <c:barDir val="col"/>
        <c:grouping val="stacked"/>
        <c:varyColors val="0"/>
        <c:ser>
          <c:idx val="0"/>
          <c:order val="0"/>
          <c:tx>
            <c:strRef>
              <c:f>rezultati!$B$24</c:f>
              <c:strCache>
                <c:ptCount val="1"/>
                <c:pt idx="0">
                  <c:v>Stroški kapitala</c:v>
                </c:pt>
              </c:strCache>
            </c:strRef>
          </c:tx>
          <c:spPr>
            <a:solidFill>
              <a:srgbClr val="DD0806"/>
            </a:solidFill>
            <a:ln w="12700">
              <a:solidFill>
                <a:srgbClr val="000000"/>
              </a:solidFill>
              <a:prstDash val="solid"/>
            </a:ln>
          </c:spPr>
          <c:invertIfNegative val="0"/>
          <c:cat>
            <c:strRef>
              <c:f>(rezultati!$E$9,rezultati!$F$9,rezultati!$G$9,rezultati!$H$9,rezultati!$I$9,rezultati!$J$9,rezultati!$K$9,rezultati!$L$9,rezultati!$M$9,rezultati!$N$9,rezultati!$O$9)</c:f>
              <c:strCache>
                <c:ptCount val="11"/>
                <c:pt idx="0">
                  <c:v>Obstojece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(rezultati!$E$24,rezultati!$F$24,rezultati!$G$24,rezultati!$H$24,rezultati!$I$24,rezultati!$J$24,rezultati!$K$24,rezultati!$L$24,rezultati!$M$24,rezultati!$N$24,rezultati!$O$24)</c:f>
              <c:numCache>
                <c:formatCode>#,##0.00</c:formatCode>
                <c:ptCount val="11"/>
                <c:pt idx="0">
                  <c:v>0</c:v>
                </c:pt>
                <c:pt idx="1">
                  <c:v>474.64283658264401</c:v>
                </c:pt>
                <c:pt idx="2">
                  <c:v>474.64283658264401</c:v>
                </c:pt>
                <c:pt idx="3">
                  <c:v>998.18161542400037</c:v>
                </c:pt>
                <c:pt idx="4">
                  <c:v>657.16602370901614</c:v>
                </c:pt>
                <c:pt idx="5">
                  <c:v>435.61524878601443</c:v>
                </c:pt>
                <c:pt idx="6">
                  <c:v>384.44696372186172</c:v>
                </c:pt>
                <c:pt idx="7">
                  <c:v>442.71042979417587</c:v>
                </c:pt>
                <c:pt idx="8">
                  <c:v>777.67107093474999</c:v>
                </c:pt>
                <c:pt idx="9">
                  <c:v>886.1168485165939</c:v>
                </c:pt>
                <c:pt idx="10">
                  <c:v>418.8293366772856</c:v>
                </c:pt>
              </c:numCache>
            </c:numRef>
          </c:val>
          <c:extLst xmlns:c16r2="http://schemas.microsoft.com/office/drawing/2015/06/chart">
            <c:ext xmlns:c16="http://schemas.microsoft.com/office/drawing/2014/chart" uri="{C3380CC4-5D6E-409C-BE32-E72D297353CC}">
              <c16:uniqueId val="{00000000-40A5-4DBF-B0A3-61B66B000D11}"/>
            </c:ext>
          </c:extLst>
        </c:ser>
        <c:ser>
          <c:idx val="1"/>
          <c:order val="1"/>
          <c:tx>
            <c:strRef>
              <c:f>rezultati!$B$30</c:f>
              <c:strCache>
                <c:ptCount val="1"/>
                <c:pt idx="0">
                  <c:v>Stroški porabe</c:v>
                </c:pt>
              </c:strCache>
            </c:strRef>
          </c:tx>
          <c:spPr>
            <a:solidFill>
              <a:srgbClr val="99CC00"/>
            </a:solidFill>
            <a:ln w="12700">
              <a:solidFill>
                <a:srgbClr val="000000"/>
              </a:solidFill>
              <a:prstDash val="solid"/>
            </a:ln>
          </c:spPr>
          <c:invertIfNegative val="0"/>
          <c:cat>
            <c:strRef>
              <c:f>(rezultati!$E$9,rezultati!$F$9,rezultati!$G$9,rezultati!$H$9,rezultati!$I$9,rezultati!$J$9,rezultati!$K$9,rezultati!$L$9,rezultati!$M$9,rezultati!$N$9,rezultati!$O$9)</c:f>
              <c:strCache>
                <c:ptCount val="11"/>
                <c:pt idx="0">
                  <c:v>Obstojece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(rezultati!$E$30,rezultati!$F$30,rezultati!$G$30,rezultati!$H$30,rezultati!$I$30,rezultati!$J$30,rezultati!$K$30,rezultati!$L$30,rezultati!$M$30,rezultati!$N$30,rezultati!$O$30)</c:f>
              <c:numCache>
                <c:formatCode>#,##0.00</c:formatCode>
                <c:ptCount val="11"/>
                <c:pt idx="0">
                  <c:v>2529.8627397414384</c:v>
                </c:pt>
                <c:pt idx="1">
                  <c:v>726.69980050722461</c:v>
                </c:pt>
                <c:pt idx="2">
                  <c:v>709.10722116884381</c:v>
                </c:pt>
                <c:pt idx="3">
                  <c:v>594.01099902234375</c:v>
                </c:pt>
                <c:pt idx="4">
                  <c:v>1201.7962375986383</c:v>
                </c:pt>
                <c:pt idx="5">
                  <c:v>1972.3376864655629</c:v>
                </c:pt>
                <c:pt idx="6">
                  <c:v>2705.3594301214207</c:v>
                </c:pt>
                <c:pt idx="7">
                  <c:v>1386.30612244898</c:v>
                </c:pt>
                <c:pt idx="8">
                  <c:v>715</c:v>
                </c:pt>
                <c:pt idx="9">
                  <c:v>672.33333333333326</c:v>
                </c:pt>
                <c:pt idx="10">
                  <c:v>626.26086956521738</c:v>
                </c:pt>
              </c:numCache>
            </c:numRef>
          </c:val>
          <c:extLst xmlns:c16r2="http://schemas.microsoft.com/office/drawing/2015/06/chart">
            <c:ext xmlns:c16="http://schemas.microsoft.com/office/drawing/2014/chart" uri="{C3380CC4-5D6E-409C-BE32-E72D297353CC}">
              <c16:uniqueId val="{00000001-40A5-4DBF-B0A3-61B66B000D11}"/>
            </c:ext>
          </c:extLst>
        </c:ser>
        <c:ser>
          <c:idx val="2"/>
          <c:order val="2"/>
          <c:tx>
            <c:strRef>
              <c:f>rezultati!$B$39</c:f>
              <c:strCache>
                <c:ptCount val="1"/>
                <c:pt idx="0">
                  <c:v>Obratovalni stroški &amp; drugi stroški </c:v>
                </c:pt>
              </c:strCache>
            </c:strRef>
          </c:tx>
          <c:spPr>
            <a:solidFill>
              <a:srgbClr val="FCF305"/>
            </a:solidFill>
            <a:ln w="12700">
              <a:solidFill>
                <a:srgbClr val="000000"/>
              </a:solidFill>
              <a:prstDash val="solid"/>
            </a:ln>
          </c:spPr>
          <c:invertIfNegative val="0"/>
          <c:cat>
            <c:strRef>
              <c:f>(rezultati!$E$9,rezultati!$F$9,rezultati!$G$9,rezultati!$H$9,rezultati!$I$9,rezultati!$J$9,rezultati!$K$9,rezultati!$L$9,rezultati!$M$9,rezultati!$N$9,rezultati!$O$9)</c:f>
              <c:strCache>
                <c:ptCount val="11"/>
                <c:pt idx="0">
                  <c:v>Obstojece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(rezultati!$E$39,rezultati!$F$39,rezultati!$G$39,rezultati!$H$39,rezultati!$I$39,rezultati!$J$39,rezultati!$K$39,rezultati!$L$39,rezultati!$M$39,rezultati!$N$39,rezultati!$O$39)</c:f>
              <c:numCache>
                <c:formatCode>#,##0.00</c:formatCode>
                <c:ptCount val="11"/>
                <c:pt idx="0">
                  <c:v>131.69999999999999</c:v>
                </c:pt>
                <c:pt idx="1">
                  <c:v>138.35</c:v>
                </c:pt>
                <c:pt idx="2">
                  <c:v>160.25</c:v>
                </c:pt>
                <c:pt idx="3">
                  <c:v>281.2</c:v>
                </c:pt>
                <c:pt idx="4">
                  <c:v>217.2</c:v>
                </c:pt>
                <c:pt idx="5">
                  <c:v>142.19999999999999</c:v>
                </c:pt>
                <c:pt idx="6">
                  <c:v>154.65</c:v>
                </c:pt>
                <c:pt idx="7">
                  <c:v>134.15</c:v>
                </c:pt>
                <c:pt idx="8">
                  <c:v>214.3</c:v>
                </c:pt>
                <c:pt idx="9">
                  <c:v>220.8</c:v>
                </c:pt>
                <c:pt idx="10">
                  <c:v>172.5</c:v>
                </c:pt>
              </c:numCache>
            </c:numRef>
          </c:val>
          <c:extLst xmlns:c16r2="http://schemas.microsoft.com/office/drawing/2015/06/chart">
            <c:ext xmlns:c16="http://schemas.microsoft.com/office/drawing/2014/chart" uri="{C3380CC4-5D6E-409C-BE32-E72D297353CC}">
              <c16:uniqueId val="{00000002-40A5-4DBF-B0A3-61B66B000D11}"/>
            </c:ext>
          </c:extLst>
        </c:ser>
        <c:dLbls>
          <c:showLegendKey val="0"/>
          <c:showVal val="0"/>
          <c:showCatName val="0"/>
          <c:showSerName val="0"/>
          <c:showPercent val="0"/>
          <c:showBubbleSize val="0"/>
        </c:dLbls>
        <c:gapWidth val="150"/>
        <c:overlap val="100"/>
        <c:axId val="312106368"/>
        <c:axId val="312116352"/>
      </c:barChart>
      <c:catAx>
        <c:axId val="31210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1">
              <a:defRPr sz="1125" b="0" i="0" u="none" strike="noStrike" baseline="0">
                <a:solidFill>
                  <a:srgbClr val="000000"/>
                </a:solidFill>
                <a:latin typeface="Arial"/>
                <a:ea typeface="Arial"/>
                <a:cs typeface="Arial"/>
              </a:defRPr>
            </a:pPr>
            <a:endParaRPr lang="en-US"/>
          </a:p>
        </c:txPr>
        <c:crossAx val="312116352"/>
        <c:crosses val="autoZero"/>
        <c:auto val="1"/>
        <c:lblAlgn val="ctr"/>
        <c:lblOffset val="100"/>
        <c:tickLblSkip val="1"/>
        <c:tickMarkSkip val="1"/>
        <c:noMultiLvlLbl val="0"/>
      </c:catAx>
      <c:valAx>
        <c:axId val="312116352"/>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[Evro / a]</a:t>
                </a:r>
              </a:p>
            </c:rich>
          </c:tx>
          <c:layout>
            <c:manualLayout>
              <c:xMode val="edge"/>
              <c:yMode val="edge"/>
              <c:x val="2.0682523267838678E-3"/>
              <c:y val="0.4762711864406779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2106368"/>
        <c:crosses val="autoZero"/>
        <c:crossBetween val="between"/>
      </c:valAx>
      <c:spPr>
        <a:noFill/>
        <a:ln w="12700">
          <a:solidFill>
            <a:srgbClr val="808080"/>
          </a:solidFill>
          <a:prstDash val="solid"/>
        </a:ln>
      </c:spPr>
    </c:plotArea>
    <c:legend>
      <c:legendPos val="r"/>
      <c:layout>
        <c:manualLayout>
          <c:xMode val="edge"/>
          <c:yMode val="edge"/>
          <c:x val="0.74688796680497926"/>
          <c:y val="0.43792633015006821"/>
          <c:w val="0.22406639004149378"/>
          <c:h val="0.1418826739427012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416961130741"/>
          <c:y val="7.4184083746875823E-2"/>
          <c:w val="0.79858657243816267"/>
          <c:h val="0.78338392436700788"/>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'ekon.kaz.polena (2)'!$E$12:$E$27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'ekon.kaz.polena (2)'!$G$12:$G$27</c:f>
              <c:numCache>
                <c:formatCode>#,##0</c:formatCode>
                <c:ptCount val="16"/>
                <c:pt idx="0">
                  <c:v>-7650</c:v>
                </c:pt>
                <c:pt idx="1">
                  <c:v>-5857.7944814274051</c:v>
                </c:pt>
                <c:pt idx="2">
                  <c:v>-4065.5889628548107</c:v>
                </c:pt>
                <c:pt idx="3">
                  <c:v>-2273.3834442822163</c:v>
                </c:pt>
                <c:pt idx="4">
                  <c:v>-481.17792570962183</c:v>
                </c:pt>
                <c:pt idx="5">
                  <c:v>1311.0275928629726</c:v>
                </c:pt>
                <c:pt idx="6">
                  <c:v>3103.233111435567</c:v>
                </c:pt>
                <c:pt idx="7">
                  <c:v>4895.4386300081615</c:v>
                </c:pt>
                <c:pt idx="8">
                  <c:v>6687.6441485807554</c:v>
                </c:pt>
                <c:pt idx="9">
                  <c:v>8479.8496671533503</c:v>
                </c:pt>
                <c:pt idx="10">
                  <c:v>10272.055185725945</c:v>
                </c:pt>
                <c:pt idx="11">
                  <c:v>12064.26070429854</c:v>
                </c:pt>
                <c:pt idx="12">
                  <c:v>13856.466222871135</c:v>
                </c:pt>
                <c:pt idx="13">
                  <c:v>15648.67174144373</c:v>
                </c:pt>
                <c:pt idx="14">
                  <c:v>17440.877260016325</c:v>
                </c:pt>
                <c:pt idx="15">
                  <c:v>19233.08277858892</c:v>
                </c:pt>
              </c:numCache>
            </c:numRef>
          </c:val>
          <c:extLst xmlns:c16r2="http://schemas.microsoft.com/office/drawing/2015/06/chart">
            <c:ext xmlns:c16="http://schemas.microsoft.com/office/drawing/2014/chart" uri="{C3380CC4-5D6E-409C-BE32-E72D297353CC}">
              <c16:uniqueId val="{00000000-2DD1-45D3-BAC4-955D111FDDBB}"/>
            </c:ext>
          </c:extLst>
        </c:ser>
        <c:dLbls>
          <c:showLegendKey val="0"/>
          <c:showVal val="0"/>
          <c:showCatName val="0"/>
          <c:showSerName val="0"/>
          <c:showPercent val="0"/>
          <c:showBubbleSize val="0"/>
        </c:dLbls>
        <c:axId val="313780480"/>
        <c:axId val="313864576"/>
      </c:areaChart>
      <c:catAx>
        <c:axId val="313780480"/>
        <c:scaling>
          <c:orientation val="minMax"/>
        </c:scaling>
        <c:delete val="0"/>
        <c:axPos val="b"/>
        <c:title>
          <c:tx>
            <c:rich>
              <a:bodyPr/>
              <a:lstStyle/>
              <a:p>
                <a:pPr>
                  <a:defRPr sz="975" b="0" i="0" u="none" strike="noStrike" baseline="0">
                    <a:solidFill>
                      <a:srgbClr val="000000"/>
                    </a:solidFill>
                    <a:latin typeface="Arial"/>
                    <a:ea typeface="Arial"/>
                    <a:cs typeface="Arial"/>
                  </a:defRPr>
                </a:pPr>
                <a:r>
                  <a:rPr lang="en-GB"/>
                  <a:t>Čas [leta]</a:t>
                </a:r>
              </a:p>
            </c:rich>
          </c:tx>
          <c:layout>
            <c:manualLayout>
              <c:xMode val="edge"/>
              <c:yMode val="edge"/>
              <c:x val="0.5088339495197509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3864576"/>
        <c:crosses val="autoZero"/>
        <c:auto val="1"/>
        <c:lblAlgn val="ctr"/>
        <c:lblOffset val="100"/>
        <c:tickLblSkip val="1"/>
        <c:tickMarkSkip val="1"/>
        <c:noMultiLvlLbl val="0"/>
      </c:catAx>
      <c:valAx>
        <c:axId val="313864576"/>
        <c:scaling>
          <c:orientation val="minMax"/>
          <c:min val="-200000"/>
        </c:scaling>
        <c:delete val="0"/>
        <c:axPos val="l"/>
        <c:majorGridlines>
          <c:spPr>
            <a:ln w="3175">
              <a:solidFill>
                <a:srgbClr val="000000"/>
              </a:solidFill>
              <a:prstDash val="solid"/>
            </a:ln>
          </c:spPr>
        </c:majorGridlines>
        <c:title>
          <c:tx>
            <c:rich>
              <a:bodyPr/>
              <a:lstStyle/>
              <a:p>
                <a:pPr>
                  <a:defRPr sz="975" b="0" i="0" u="none" strike="noStrike" baseline="0">
                    <a:solidFill>
                      <a:srgbClr val="000000"/>
                    </a:solidFill>
                    <a:latin typeface="Arial"/>
                    <a:ea typeface="Arial"/>
                    <a:cs typeface="Arial"/>
                  </a:defRPr>
                </a:pPr>
                <a:r>
                  <a:rPr lang="en-GB"/>
                  <a:t>Denarni tok [€]</a:t>
                </a:r>
              </a:p>
            </c:rich>
          </c:tx>
          <c:layout>
            <c:manualLayout>
              <c:xMode val="edge"/>
              <c:yMode val="edge"/>
              <c:x val="2.8268563203793076E-2"/>
              <c:y val="0.335312195767813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3780480"/>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416961130741"/>
          <c:y val="7.4184083746875823E-2"/>
          <c:w val="0.79858657243816267"/>
          <c:h val="0.7833839243670081"/>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ekon.kaz.sekanci!$E$12:$E$27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ekon.kaz.sekanci!$G$12:$G$27</c:f>
              <c:numCache>
                <c:formatCode>#,##0</c:formatCode>
                <c:ptCount val="16"/>
                <c:pt idx="0">
                  <c:v>-19200</c:v>
                </c:pt>
                <c:pt idx="1">
                  <c:v>-17413.648259280904</c:v>
                </c:pt>
                <c:pt idx="2">
                  <c:v>-15627.296518561809</c:v>
                </c:pt>
                <c:pt idx="3">
                  <c:v>-13840.944777842713</c:v>
                </c:pt>
                <c:pt idx="4">
                  <c:v>-12054.593037123617</c:v>
                </c:pt>
                <c:pt idx="5">
                  <c:v>-10268.241296404522</c:v>
                </c:pt>
                <c:pt idx="6">
                  <c:v>-8481.8895556854259</c:v>
                </c:pt>
                <c:pt idx="7">
                  <c:v>-6695.5378149663311</c:v>
                </c:pt>
                <c:pt idx="8">
                  <c:v>-4909.1860742472363</c:v>
                </c:pt>
                <c:pt idx="9">
                  <c:v>-3122.8343335281415</c:v>
                </c:pt>
                <c:pt idx="10">
                  <c:v>-1336.4825928090468</c:v>
                </c:pt>
                <c:pt idx="11">
                  <c:v>449.86914791004801</c:v>
                </c:pt>
                <c:pt idx="12">
                  <c:v>2236.2208886291428</c:v>
                </c:pt>
                <c:pt idx="13">
                  <c:v>4022.5726293482376</c:v>
                </c:pt>
                <c:pt idx="14">
                  <c:v>5808.9243700673323</c:v>
                </c:pt>
                <c:pt idx="15">
                  <c:v>7595.2761107864271</c:v>
                </c:pt>
              </c:numCache>
            </c:numRef>
          </c:val>
          <c:extLst xmlns:c16r2="http://schemas.microsoft.com/office/drawing/2015/06/chart">
            <c:ext xmlns:c16="http://schemas.microsoft.com/office/drawing/2014/chart" uri="{C3380CC4-5D6E-409C-BE32-E72D297353CC}">
              <c16:uniqueId val="{00000000-D76B-4A2F-90D9-A279952A8251}"/>
            </c:ext>
          </c:extLst>
        </c:ser>
        <c:dLbls>
          <c:showLegendKey val="0"/>
          <c:showVal val="0"/>
          <c:showCatName val="0"/>
          <c:showSerName val="0"/>
          <c:showPercent val="0"/>
          <c:showBubbleSize val="0"/>
        </c:dLbls>
        <c:axId val="313914112"/>
        <c:axId val="313916032"/>
      </c:areaChart>
      <c:catAx>
        <c:axId val="313914112"/>
        <c:scaling>
          <c:orientation val="minMax"/>
        </c:scaling>
        <c:delete val="0"/>
        <c:axPos val="b"/>
        <c:title>
          <c:tx>
            <c:rich>
              <a:bodyPr/>
              <a:lstStyle/>
              <a:p>
                <a:pPr>
                  <a:defRPr sz="975" b="0" i="0" u="none" strike="noStrike" baseline="0">
                    <a:solidFill>
                      <a:srgbClr val="000000"/>
                    </a:solidFill>
                    <a:latin typeface="Arial"/>
                    <a:ea typeface="Arial"/>
                    <a:cs typeface="Arial"/>
                  </a:defRPr>
                </a:pPr>
                <a:r>
                  <a:rPr lang="en-GB"/>
                  <a:t>Čas [leta]</a:t>
                </a:r>
              </a:p>
            </c:rich>
          </c:tx>
          <c:layout>
            <c:manualLayout>
              <c:xMode val="edge"/>
              <c:yMode val="edge"/>
              <c:x val="0.5088339495197509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3916032"/>
        <c:crosses val="autoZero"/>
        <c:auto val="1"/>
        <c:lblAlgn val="ctr"/>
        <c:lblOffset val="100"/>
        <c:tickLblSkip val="1"/>
        <c:tickMarkSkip val="1"/>
        <c:noMultiLvlLbl val="0"/>
      </c:catAx>
      <c:valAx>
        <c:axId val="313916032"/>
        <c:scaling>
          <c:orientation val="minMax"/>
          <c:min val="-200000"/>
        </c:scaling>
        <c:delete val="0"/>
        <c:axPos val="l"/>
        <c:majorGridlines>
          <c:spPr>
            <a:ln w="3175">
              <a:solidFill>
                <a:srgbClr val="000000"/>
              </a:solidFill>
              <a:prstDash val="solid"/>
            </a:ln>
          </c:spPr>
        </c:majorGridlines>
        <c:title>
          <c:tx>
            <c:rich>
              <a:bodyPr/>
              <a:lstStyle/>
              <a:p>
                <a:pPr>
                  <a:defRPr sz="975" b="0" i="0" u="none" strike="noStrike" baseline="0">
                    <a:solidFill>
                      <a:srgbClr val="000000"/>
                    </a:solidFill>
                    <a:latin typeface="Arial"/>
                    <a:ea typeface="Arial"/>
                    <a:cs typeface="Arial"/>
                  </a:defRPr>
                </a:pPr>
                <a:r>
                  <a:rPr lang="en-GB"/>
                  <a:t>Denarni tok [€]</a:t>
                </a:r>
              </a:p>
            </c:rich>
          </c:tx>
          <c:layout>
            <c:manualLayout>
              <c:xMode val="edge"/>
              <c:yMode val="edge"/>
              <c:x val="2.8268563203793076E-2"/>
              <c:y val="0.335312195767813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3914112"/>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1900826446291"/>
          <c:y val="7.204610951008647E-2"/>
          <c:w val="0.80991735537190057"/>
          <c:h val="0.78674351585014413"/>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ekon.kaz.peleti!$E$12:$E$27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ekon.kaz.peleti!$G$12:$G$27</c:f>
              <c:numCache>
                <c:formatCode>#,##0</c:formatCode>
                <c:ptCount val="16"/>
                <c:pt idx="0">
                  <c:v>-12000</c:v>
                </c:pt>
                <c:pt idx="1">
                  <c:v>-10757.433497857201</c:v>
                </c:pt>
                <c:pt idx="2">
                  <c:v>-9514.8669957144011</c:v>
                </c:pt>
                <c:pt idx="3">
                  <c:v>-8272.3004935716017</c:v>
                </c:pt>
                <c:pt idx="4">
                  <c:v>-7029.7339914288013</c:v>
                </c:pt>
                <c:pt idx="5">
                  <c:v>-5787.167489286001</c:v>
                </c:pt>
                <c:pt idx="6">
                  <c:v>-4544.6009871432007</c:v>
                </c:pt>
                <c:pt idx="7">
                  <c:v>-3302.0344850004003</c:v>
                </c:pt>
                <c:pt idx="8">
                  <c:v>-2059.4679828576</c:v>
                </c:pt>
                <c:pt idx="9">
                  <c:v>-816.90148071479985</c:v>
                </c:pt>
                <c:pt idx="10">
                  <c:v>425.66502142800027</c:v>
                </c:pt>
                <c:pt idx="11">
                  <c:v>1668.2315235708004</c:v>
                </c:pt>
                <c:pt idx="12">
                  <c:v>2910.7980257136005</c:v>
                </c:pt>
                <c:pt idx="13">
                  <c:v>4153.3645278564009</c:v>
                </c:pt>
                <c:pt idx="14">
                  <c:v>5395.9310299992012</c:v>
                </c:pt>
                <c:pt idx="15">
                  <c:v>6638.4975321420015</c:v>
                </c:pt>
              </c:numCache>
            </c:numRef>
          </c:val>
          <c:extLst xmlns:c16r2="http://schemas.microsoft.com/office/drawing/2015/06/chart">
            <c:ext xmlns:c16="http://schemas.microsoft.com/office/drawing/2014/chart" uri="{C3380CC4-5D6E-409C-BE32-E72D297353CC}">
              <c16:uniqueId val="{00000000-9156-4478-8C84-8CD39F039941}"/>
            </c:ext>
          </c:extLst>
        </c:ser>
        <c:dLbls>
          <c:showLegendKey val="0"/>
          <c:showVal val="0"/>
          <c:showCatName val="0"/>
          <c:showSerName val="0"/>
          <c:showPercent val="0"/>
          <c:showBubbleSize val="0"/>
        </c:dLbls>
        <c:axId val="313633792"/>
        <c:axId val="313672832"/>
      </c:areaChart>
      <c:catAx>
        <c:axId val="313633792"/>
        <c:scaling>
          <c:orientation val="minMax"/>
        </c:scaling>
        <c:delete val="0"/>
        <c:axPos val="b"/>
        <c:title>
          <c:tx>
            <c:rich>
              <a:bodyPr/>
              <a:lstStyle/>
              <a:p>
                <a:pPr>
                  <a:defRPr sz="1025" b="0" i="0" u="none" strike="noStrike" baseline="0">
                    <a:solidFill>
                      <a:srgbClr val="000000"/>
                    </a:solidFill>
                    <a:latin typeface="Arial"/>
                    <a:ea typeface="Arial"/>
                    <a:cs typeface="Arial"/>
                  </a:defRPr>
                </a:pPr>
                <a:r>
                  <a:rPr lang="en-GB"/>
                  <a:t>Čas [leta]</a:t>
                </a:r>
              </a:p>
            </c:rich>
          </c:tx>
          <c:layout>
            <c:manualLayout>
              <c:xMode val="edge"/>
              <c:yMode val="edge"/>
              <c:x val="0.5057851996688334"/>
              <c:y val="0.887608048993875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13672832"/>
        <c:crosses val="autoZero"/>
        <c:auto val="1"/>
        <c:lblAlgn val="ctr"/>
        <c:lblOffset val="100"/>
        <c:tickLblSkip val="1"/>
        <c:tickMarkSkip val="1"/>
        <c:noMultiLvlLbl val="0"/>
      </c:catAx>
      <c:valAx>
        <c:axId val="313672832"/>
        <c:scaling>
          <c:orientation val="minMax"/>
          <c:max val="350000"/>
          <c:min val="-200000"/>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GB"/>
                  <a:t>Denarni tok [€]</a:t>
                </a:r>
              </a:p>
            </c:rich>
          </c:tx>
          <c:layout>
            <c:manualLayout>
              <c:xMode val="edge"/>
              <c:yMode val="edge"/>
              <c:x val="2.6446299917208337E-2"/>
              <c:y val="0.325648293963254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13633792"/>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1900826446291"/>
          <c:y val="7.204610951008647E-2"/>
          <c:w val="0.80991735537190057"/>
          <c:h val="0.78674351585014413"/>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ekon.kaz.ELKO!$E$12:$E$27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ekon.kaz.ELKO!$G$12:$G$27</c:f>
              <c:numCache>
                <c:formatCode>#,##0</c:formatCode>
                <c:ptCount val="16"/>
                <c:pt idx="0">
                  <c:v>-7800</c:v>
                </c:pt>
                <c:pt idx="1">
                  <c:v>-7252.9749467241245</c:v>
                </c:pt>
                <c:pt idx="2">
                  <c:v>-6705.949893448249</c:v>
                </c:pt>
                <c:pt idx="3">
                  <c:v>-6158.9248401723735</c:v>
                </c:pt>
                <c:pt idx="4">
                  <c:v>-5611.899786896498</c:v>
                </c:pt>
                <c:pt idx="5">
                  <c:v>-5064.8747336206225</c:v>
                </c:pt>
                <c:pt idx="6">
                  <c:v>-4517.849680344747</c:v>
                </c:pt>
                <c:pt idx="7">
                  <c:v>-3970.8246270688715</c:v>
                </c:pt>
                <c:pt idx="8">
                  <c:v>-3423.7995737929959</c:v>
                </c:pt>
                <c:pt idx="9">
                  <c:v>-2876.7745205171204</c:v>
                </c:pt>
                <c:pt idx="10">
                  <c:v>-2329.7494672412449</c:v>
                </c:pt>
                <c:pt idx="11">
                  <c:v>-1782.7244139653694</c:v>
                </c:pt>
                <c:pt idx="12">
                  <c:v>-1235.6993606894939</c:v>
                </c:pt>
                <c:pt idx="13">
                  <c:v>-688.67430741361841</c:v>
                </c:pt>
                <c:pt idx="14">
                  <c:v>-141.6492541377429</c:v>
                </c:pt>
                <c:pt idx="15">
                  <c:v>405.37579913813261</c:v>
                </c:pt>
              </c:numCache>
            </c:numRef>
          </c:val>
          <c:extLst xmlns:c16r2="http://schemas.microsoft.com/office/drawing/2015/06/chart">
            <c:ext xmlns:c16="http://schemas.microsoft.com/office/drawing/2014/chart" uri="{C3380CC4-5D6E-409C-BE32-E72D297353CC}">
              <c16:uniqueId val="{00000000-CB13-4827-84D8-D97EFA31ED90}"/>
            </c:ext>
          </c:extLst>
        </c:ser>
        <c:dLbls>
          <c:showLegendKey val="0"/>
          <c:showVal val="0"/>
          <c:showCatName val="0"/>
          <c:showSerName val="0"/>
          <c:showPercent val="0"/>
          <c:showBubbleSize val="0"/>
        </c:dLbls>
        <c:axId val="313718272"/>
        <c:axId val="313720192"/>
      </c:areaChart>
      <c:catAx>
        <c:axId val="313718272"/>
        <c:scaling>
          <c:orientation val="minMax"/>
        </c:scaling>
        <c:delete val="0"/>
        <c:axPos val="b"/>
        <c:title>
          <c:tx>
            <c:rich>
              <a:bodyPr/>
              <a:lstStyle/>
              <a:p>
                <a:pPr>
                  <a:defRPr sz="1025" b="0" i="0" u="none" strike="noStrike" baseline="0">
                    <a:solidFill>
                      <a:srgbClr val="000000"/>
                    </a:solidFill>
                    <a:latin typeface="Arial"/>
                    <a:ea typeface="Arial"/>
                    <a:cs typeface="Arial"/>
                  </a:defRPr>
                </a:pPr>
                <a:r>
                  <a:rPr lang="en-GB"/>
                  <a:t>Čas [leta]</a:t>
                </a:r>
              </a:p>
            </c:rich>
          </c:tx>
          <c:layout>
            <c:manualLayout>
              <c:xMode val="edge"/>
              <c:yMode val="edge"/>
              <c:x val="0.5057851996688334"/>
              <c:y val="0.887608048993875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13720192"/>
        <c:crosses val="autoZero"/>
        <c:auto val="1"/>
        <c:lblAlgn val="ctr"/>
        <c:lblOffset val="100"/>
        <c:tickLblSkip val="1"/>
        <c:tickMarkSkip val="1"/>
        <c:noMultiLvlLbl val="0"/>
      </c:catAx>
      <c:valAx>
        <c:axId val="313720192"/>
        <c:scaling>
          <c:orientation val="minMax"/>
          <c:max val="350000"/>
          <c:min val="-200000"/>
        </c:scaling>
        <c:delete val="0"/>
        <c:axPos val="l"/>
        <c:majorGridlines>
          <c:spPr>
            <a:ln w="3175">
              <a:solidFill>
                <a:srgbClr val="000000"/>
              </a:solidFill>
              <a:prstDash val="solid"/>
            </a:ln>
          </c:spPr>
        </c:majorGridlines>
        <c:title>
          <c:tx>
            <c:rich>
              <a:bodyPr/>
              <a:lstStyle/>
              <a:p>
                <a:pPr>
                  <a:defRPr sz="1025" b="0" i="0" u="none" strike="noStrike" baseline="0">
                    <a:solidFill>
                      <a:srgbClr val="000000"/>
                    </a:solidFill>
                    <a:latin typeface="Arial"/>
                    <a:ea typeface="Arial"/>
                    <a:cs typeface="Arial"/>
                  </a:defRPr>
                </a:pPr>
                <a:r>
                  <a:rPr lang="en-GB"/>
                  <a:t>Denarni tok [€]</a:t>
                </a:r>
              </a:p>
            </c:rich>
          </c:tx>
          <c:layout>
            <c:manualLayout>
              <c:xMode val="edge"/>
              <c:yMode val="edge"/>
              <c:x val="2.6446299917208337E-2"/>
              <c:y val="0.325648293963254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13718272"/>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62"/>
          <c:y val="7.7881856873834435E-2"/>
          <c:w val="0.8144512239121896"/>
          <c:h val="0.77570329446339137"/>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ekon.kaz.UNP!$E$12:$E$27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ekon.kaz.UNP!$G$12:$G$27</c:f>
              <c:numCache>
                <c:formatCode>#,##0</c:formatCode>
                <c:ptCount val="16"/>
                <c:pt idx="0">
                  <c:v>-6250</c:v>
                </c:pt>
                <c:pt idx="1">
                  <c:v>-6448.4466903799821</c:v>
                </c:pt>
                <c:pt idx="2">
                  <c:v>-6646.8933807599642</c:v>
                </c:pt>
                <c:pt idx="3">
                  <c:v>-6845.3400711399463</c:v>
                </c:pt>
                <c:pt idx="4">
                  <c:v>-7043.7867615199284</c:v>
                </c:pt>
                <c:pt idx="5">
                  <c:v>-7242.2334518999105</c:v>
                </c:pt>
                <c:pt idx="6">
                  <c:v>-7440.6801422798926</c:v>
                </c:pt>
                <c:pt idx="7">
                  <c:v>-7639.1268326598747</c:v>
                </c:pt>
                <c:pt idx="8">
                  <c:v>-7837.5735230398568</c:v>
                </c:pt>
                <c:pt idx="9">
                  <c:v>-8036.0202134198389</c:v>
                </c:pt>
                <c:pt idx="10">
                  <c:v>-8234.466903799821</c:v>
                </c:pt>
                <c:pt idx="11">
                  <c:v>-8432.9135941798031</c:v>
                </c:pt>
                <c:pt idx="12">
                  <c:v>-8631.3602845597852</c:v>
                </c:pt>
                <c:pt idx="13">
                  <c:v>-8829.8069749397673</c:v>
                </c:pt>
                <c:pt idx="14">
                  <c:v>-9028.2536653197494</c:v>
                </c:pt>
                <c:pt idx="15">
                  <c:v>-9226.7003556997315</c:v>
                </c:pt>
              </c:numCache>
            </c:numRef>
          </c:val>
          <c:extLst xmlns:c16r2="http://schemas.microsoft.com/office/drawing/2015/06/chart">
            <c:ext xmlns:c16="http://schemas.microsoft.com/office/drawing/2014/chart" uri="{C3380CC4-5D6E-409C-BE32-E72D297353CC}">
              <c16:uniqueId val="{00000000-95AB-49C5-8762-A9A82BBDB639}"/>
            </c:ext>
          </c:extLst>
        </c:ser>
        <c:dLbls>
          <c:showLegendKey val="0"/>
          <c:showVal val="0"/>
          <c:showCatName val="0"/>
          <c:showSerName val="0"/>
          <c:showPercent val="0"/>
          <c:showBubbleSize val="0"/>
        </c:dLbls>
        <c:axId val="313417728"/>
        <c:axId val="313419648"/>
      </c:areaChart>
      <c:catAx>
        <c:axId val="313417728"/>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en-GB"/>
                  <a:t>Čas [leta]</a:t>
                </a:r>
              </a:p>
            </c:rich>
          </c:tx>
          <c:layout>
            <c:manualLayout>
              <c:xMode val="edge"/>
              <c:yMode val="edge"/>
              <c:x val="0.51067410106075051"/>
              <c:y val="0.88473777734304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3419648"/>
        <c:crosses val="autoZero"/>
        <c:auto val="1"/>
        <c:lblAlgn val="ctr"/>
        <c:lblOffset val="100"/>
        <c:tickLblSkip val="1"/>
        <c:tickMarkSkip val="1"/>
        <c:noMultiLvlLbl val="0"/>
      </c:catAx>
      <c:valAx>
        <c:axId val="313419648"/>
        <c:scaling>
          <c:orientation val="minMax"/>
          <c:max val="350000"/>
          <c:min val="-200000"/>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Denarni tok [€]</a:t>
                </a:r>
              </a:p>
            </c:rich>
          </c:tx>
          <c:layout>
            <c:manualLayout>
              <c:xMode val="edge"/>
              <c:yMode val="edge"/>
              <c:x val="2.6272487083393182E-2"/>
              <c:y val="0.33644935687386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3417728"/>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62"/>
          <c:y val="7.7881856873834435E-2"/>
          <c:w val="0.8144512239121896"/>
          <c:h val="0.77570329446339137"/>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ekon.kaz.ZP!$E$12:$E$27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ekon.kaz.ZP!$G$12:$G$27</c:f>
              <c:numCache>
                <c:formatCode>#,##0</c:formatCode>
                <c:ptCount val="16"/>
                <c:pt idx="0">
                  <c:v>-6150</c:v>
                </c:pt>
                <c:pt idx="1">
                  <c:v>-5008.8933827075416</c:v>
                </c:pt>
                <c:pt idx="2">
                  <c:v>-3867.7867654150832</c:v>
                </c:pt>
                <c:pt idx="3">
                  <c:v>-2726.6801481226248</c:v>
                </c:pt>
                <c:pt idx="4">
                  <c:v>-1585.5735308301664</c:v>
                </c:pt>
                <c:pt idx="5">
                  <c:v>-444.46691353770802</c:v>
                </c:pt>
                <c:pt idx="6">
                  <c:v>696.63970375475037</c:v>
                </c:pt>
                <c:pt idx="7">
                  <c:v>1837.7463210472088</c:v>
                </c:pt>
                <c:pt idx="8">
                  <c:v>2978.8529383396672</c:v>
                </c:pt>
                <c:pt idx="9">
                  <c:v>4119.9595556321256</c:v>
                </c:pt>
                <c:pt idx="10">
                  <c:v>5261.066172924584</c:v>
                </c:pt>
                <c:pt idx="11">
                  <c:v>6402.1727902170423</c:v>
                </c:pt>
                <c:pt idx="12">
                  <c:v>7543.2794075095007</c:v>
                </c:pt>
                <c:pt idx="13">
                  <c:v>8684.3860248019591</c:v>
                </c:pt>
                <c:pt idx="14">
                  <c:v>9825.4926420944175</c:v>
                </c:pt>
                <c:pt idx="15">
                  <c:v>10966.599259386876</c:v>
                </c:pt>
              </c:numCache>
            </c:numRef>
          </c:val>
          <c:extLst xmlns:c16r2="http://schemas.microsoft.com/office/drawing/2015/06/chart">
            <c:ext xmlns:c16="http://schemas.microsoft.com/office/drawing/2014/chart" uri="{C3380CC4-5D6E-409C-BE32-E72D297353CC}">
              <c16:uniqueId val="{00000000-905B-4ED2-B032-9B091592F328}"/>
            </c:ext>
          </c:extLst>
        </c:ser>
        <c:dLbls>
          <c:showLegendKey val="0"/>
          <c:showVal val="0"/>
          <c:showCatName val="0"/>
          <c:showSerName val="0"/>
          <c:showPercent val="0"/>
          <c:showBubbleSize val="0"/>
        </c:dLbls>
        <c:axId val="313444608"/>
        <c:axId val="314315136"/>
      </c:areaChart>
      <c:catAx>
        <c:axId val="313444608"/>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en-GB"/>
                  <a:t>Čas [leta]</a:t>
                </a:r>
              </a:p>
            </c:rich>
          </c:tx>
          <c:layout>
            <c:manualLayout>
              <c:xMode val="edge"/>
              <c:yMode val="edge"/>
              <c:x val="0.51067410106075051"/>
              <c:y val="0.88473777734304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4315136"/>
        <c:crosses val="autoZero"/>
        <c:auto val="1"/>
        <c:lblAlgn val="ctr"/>
        <c:lblOffset val="100"/>
        <c:tickLblSkip val="1"/>
        <c:tickMarkSkip val="1"/>
        <c:noMultiLvlLbl val="0"/>
      </c:catAx>
      <c:valAx>
        <c:axId val="314315136"/>
        <c:scaling>
          <c:orientation val="minMax"/>
          <c:max val="350000"/>
          <c:min val="-200000"/>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Denarni tok [€]</a:t>
                </a:r>
              </a:p>
            </c:rich>
          </c:tx>
          <c:layout>
            <c:manualLayout>
              <c:xMode val="edge"/>
              <c:yMode val="edge"/>
              <c:x val="2.6272487083393182E-2"/>
              <c:y val="0.33644935687386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3444608"/>
        <c:crosses val="autoZero"/>
        <c:crossBetween val="midCat"/>
        <c:majorUnit val="50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62"/>
          <c:y val="7.7881856873834435E-2"/>
          <c:w val="0.8144512239121896"/>
          <c:h val="0.77570329446339137"/>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ekon.kaz.TČ!$E$12:$E$27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ekon.kaz.TČ!$G$12:$G$27</c:f>
              <c:numCache>
                <c:formatCode>#,##0</c:formatCode>
                <c:ptCount val="16"/>
                <c:pt idx="0">
                  <c:v>-11600</c:v>
                </c:pt>
                <c:pt idx="1">
                  <c:v>-9867.7372602585619</c:v>
                </c:pt>
                <c:pt idx="2">
                  <c:v>-8135.4745205171239</c:v>
                </c:pt>
                <c:pt idx="3">
                  <c:v>-6403.2117807756858</c:v>
                </c:pt>
                <c:pt idx="4">
                  <c:v>-4670.9490410342478</c:v>
                </c:pt>
                <c:pt idx="5">
                  <c:v>-2938.6863012928097</c:v>
                </c:pt>
                <c:pt idx="6">
                  <c:v>-1206.4235615513717</c:v>
                </c:pt>
                <c:pt idx="7">
                  <c:v>525.83917819006638</c:v>
                </c:pt>
                <c:pt idx="8">
                  <c:v>2258.1019179315044</c:v>
                </c:pt>
                <c:pt idx="9">
                  <c:v>3990.3646576729425</c:v>
                </c:pt>
                <c:pt idx="10">
                  <c:v>5722.6273974143805</c:v>
                </c:pt>
                <c:pt idx="11">
                  <c:v>7454.8901371558186</c:v>
                </c:pt>
                <c:pt idx="12">
                  <c:v>9187.1528768972566</c:v>
                </c:pt>
                <c:pt idx="13">
                  <c:v>10919.415616638695</c:v>
                </c:pt>
                <c:pt idx="14">
                  <c:v>12651.678356380133</c:v>
                </c:pt>
                <c:pt idx="15">
                  <c:v>14383.941096121571</c:v>
                </c:pt>
              </c:numCache>
            </c:numRef>
          </c:val>
          <c:extLst xmlns:c16r2="http://schemas.microsoft.com/office/drawing/2015/06/chart">
            <c:ext xmlns:c16="http://schemas.microsoft.com/office/drawing/2014/chart" uri="{C3380CC4-5D6E-409C-BE32-E72D297353CC}">
              <c16:uniqueId val="{00000000-96E9-445E-B06B-8D381B763DF0}"/>
            </c:ext>
          </c:extLst>
        </c:ser>
        <c:dLbls>
          <c:showLegendKey val="0"/>
          <c:showVal val="0"/>
          <c:showCatName val="0"/>
          <c:showSerName val="0"/>
          <c:showPercent val="0"/>
          <c:showBubbleSize val="0"/>
        </c:dLbls>
        <c:axId val="312623872"/>
        <c:axId val="312625792"/>
      </c:areaChart>
      <c:catAx>
        <c:axId val="312623872"/>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en-GB"/>
                  <a:t>Čas [leta]</a:t>
                </a:r>
              </a:p>
            </c:rich>
          </c:tx>
          <c:layout>
            <c:manualLayout>
              <c:xMode val="edge"/>
              <c:yMode val="edge"/>
              <c:x val="0.51067410106075051"/>
              <c:y val="0.88473777734304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625792"/>
        <c:crosses val="autoZero"/>
        <c:auto val="1"/>
        <c:lblAlgn val="ctr"/>
        <c:lblOffset val="100"/>
        <c:tickLblSkip val="1"/>
        <c:tickMarkSkip val="1"/>
        <c:noMultiLvlLbl val="0"/>
      </c:catAx>
      <c:valAx>
        <c:axId val="312625792"/>
        <c:scaling>
          <c:orientation val="minMax"/>
          <c:max val="35000"/>
          <c:min val="-20000"/>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Denarni tok [€]</a:t>
                </a:r>
              </a:p>
            </c:rich>
          </c:tx>
          <c:layout>
            <c:manualLayout>
              <c:xMode val="edge"/>
              <c:yMode val="edge"/>
              <c:x val="2.6272487083393182E-2"/>
              <c:y val="0.33644935687386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623872"/>
        <c:crosses val="autoZero"/>
        <c:crossBetween val="midCat"/>
        <c:majorUnit val="10000"/>
        <c:minorUnit val="1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62"/>
          <c:y val="7.7881856873834435E-2"/>
          <c:w val="0.8144512239121896"/>
          <c:h val="0.77570329446339137"/>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'ekon.kaz.TČ (2)'!$E$12:$E$27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'ekon.kaz.TČ (2)'!$G$12:$G$27</c:f>
              <c:numCache>
                <c:formatCode>#,##0</c:formatCode>
                <c:ptCount val="16"/>
                <c:pt idx="0">
                  <c:v>-20000</c:v>
                </c:pt>
                <c:pt idx="1">
                  <c:v>-18231.570593591896</c:v>
                </c:pt>
                <c:pt idx="2">
                  <c:v>-16463.141187183792</c:v>
                </c:pt>
                <c:pt idx="3">
                  <c:v>-14694.711780775688</c:v>
                </c:pt>
                <c:pt idx="4">
                  <c:v>-12926.282374367584</c:v>
                </c:pt>
                <c:pt idx="5">
                  <c:v>-11157.852967959479</c:v>
                </c:pt>
                <c:pt idx="6">
                  <c:v>-9389.4235615513753</c:v>
                </c:pt>
                <c:pt idx="7">
                  <c:v>-7620.9941551432703</c:v>
                </c:pt>
                <c:pt idx="8">
                  <c:v>-5852.5647487351653</c:v>
                </c:pt>
                <c:pt idx="9">
                  <c:v>-4084.1353423270602</c:v>
                </c:pt>
                <c:pt idx="10">
                  <c:v>-2315.7059359189552</c:v>
                </c:pt>
                <c:pt idx="11">
                  <c:v>-547.2765295108502</c:v>
                </c:pt>
                <c:pt idx="12">
                  <c:v>1221.1528768972548</c:v>
                </c:pt>
                <c:pt idx="13">
                  <c:v>2989.5822833053599</c:v>
                </c:pt>
                <c:pt idx="14">
                  <c:v>4758.0116897134649</c:v>
                </c:pt>
                <c:pt idx="15">
                  <c:v>6526.4410961215699</c:v>
                </c:pt>
              </c:numCache>
            </c:numRef>
          </c:val>
          <c:extLst xmlns:c16r2="http://schemas.microsoft.com/office/drawing/2015/06/chart">
            <c:ext xmlns:c16="http://schemas.microsoft.com/office/drawing/2014/chart" uri="{C3380CC4-5D6E-409C-BE32-E72D297353CC}">
              <c16:uniqueId val="{00000000-2928-4F49-9602-892F8D1AF5C3}"/>
            </c:ext>
          </c:extLst>
        </c:ser>
        <c:dLbls>
          <c:showLegendKey val="0"/>
          <c:showVal val="0"/>
          <c:showCatName val="0"/>
          <c:showSerName val="0"/>
          <c:showPercent val="0"/>
          <c:showBubbleSize val="0"/>
        </c:dLbls>
        <c:axId val="314199040"/>
        <c:axId val="314205312"/>
      </c:areaChart>
      <c:catAx>
        <c:axId val="314199040"/>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en-GB"/>
                  <a:t>Čas [leta]</a:t>
                </a:r>
              </a:p>
            </c:rich>
          </c:tx>
          <c:layout>
            <c:manualLayout>
              <c:xMode val="edge"/>
              <c:yMode val="edge"/>
              <c:x val="0.51067410106075051"/>
              <c:y val="0.88473777734304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4205312"/>
        <c:crosses val="autoZero"/>
        <c:auto val="1"/>
        <c:lblAlgn val="ctr"/>
        <c:lblOffset val="100"/>
        <c:tickLblSkip val="1"/>
        <c:tickMarkSkip val="1"/>
        <c:noMultiLvlLbl val="0"/>
      </c:catAx>
      <c:valAx>
        <c:axId val="314205312"/>
        <c:scaling>
          <c:orientation val="minMax"/>
          <c:max val="35000"/>
          <c:min val="-20000"/>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Denarni tok [€]</a:t>
                </a:r>
              </a:p>
            </c:rich>
          </c:tx>
          <c:layout>
            <c:manualLayout>
              <c:xMode val="edge"/>
              <c:yMode val="edge"/>
              <c:x val="2.6272487083393182E-2"/>
              <c:y val="0.33644935687386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4199040"/>
        <c:crosses val="autoZero"/>
        <c:crossBetween val="midCat"/>
        <c:majorUnit val="10000"/>
        <c:minorUnit val="1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2552696776062"/>
          <c:y val="7.7881856873834435E-2"/>
          <c:w val="0.8144512239121896"/>
          <c:h val="0.77570329446339137"/>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'ekon.kaz.TČ (3)'!$E$12:$E$27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'ekon.kaz.TČ (3)'!$G$12:$G$27</c:f>
              <c:numCache>
                <c:formatCode>#,##0</c:formatCode>
                <c:ptCount val="16"/>
                <c:pt idx="0">
                  <c:v>-6900</c:v>
                </c:pt>
                <c:pt idx="1">
                  <c:v>-5037.1981298237788</c:v>
                </c:pt>
                <c:pt idx="2">
                  <c:v>-3174.3962596475581</c:v>
                </c:pt>
                <c:pt idx="3">
                  <c:v>-1311.5943894713373</c:v>
                </c:pt>
                <c:pt idx="4">
                  <c:v>551.20748070488344</c:v>
                </c:pt>
                <c:pt idx="5">
                  <c:v>2414.0093508811042</c:v>
                </c:pt>
                <c:pt idx="6">
                  <c:v>4276.8112210573254</c:v>
                </c:pt>
                <c:pt idx="7">
                  <c:v>6139.6130912335466</c:v>
                </c:pt>
                <c:pt idx="8">
                  <c:v>8002.4149614097678</c:v>
                </c:pt>
                <c:pt idx="9">
                  <c:v>9865.216831585989</c:v>
                </c:pt>
                <c:pt idx="10">
                  <c:v>11728.01870176221</c:v>
                </c:pt>
                <c:pt idx="11">
                  <c:v>13590.820571938431</c:v>
                </c:pt>
                <c:pt idx="12">
                  <c:v>15453.622442114653</c:v>
                </c:pt>
                <c:pt idx="13">
                  <c:v>17316.424312290874</c:v>
                </c:pt>
                <c:pt idx="14">
                  <c:v>19179.226182467093</c:v>
                </c:pt>
                <c:pt idx="15">
                  <c:v>21042.028052643313</c:v>
                </c:pt>
              </c:numCache>
            </c:numRef>
          </c:val>
          <c:extLst xmlns:c16r2="http://schemas.microsoft.com/office/drawing/2015/06/chart">
            <c:ext xmlns:c16="http://schemas.microsoft.com/office/drawing/2014/chart" uri="{C3380CC4-5D6E-409C-BE32-E72D297353CC}">
              <c16:uniqueId val="{00000000-FBB6-41D9-92CB-1A68844D7CB6}"/>
            </c:ext>
          </c:extLst>
        </c:ser>
        <c:dLbls>
          <c:showLegendKey val="0"/>
          <c:showVal val="0"/>
          <c:showCatName val="0"/>
          <c:showSerName val="0"/>
          <c:showPercent val="0"/>
          <c:showBubbleSize val="0"/>
        </c:dLbls>
        <c:axId val="314259712"/>
        <c:axId val="314282368"/>
      </c:areaChart>
      <c:catAx>
        <c:axId val="314259712"/>
        <c:scaling>
          <c:orientation val="minMax"/>
        </c:scaling>
        <c:delete val="0"/>
        <c:axPos val="b"/>
        <c:title>
          <c:tx>
            <c:rich>
              <a:bodyPr/>
              <a:lstStyle/>
              <a:p>
                <a:pPr>
                  <a:defRPr sz="925" b="0" i="0" u="none" strike="noStrike" baseline="0">
                    <a:solidFill>
                      <a:srgbClr val="000000"/>
                    </a:solidFill>
                    <a:latin typeface="Arial"/>
                    <a:ea typeface="Arial"/>
                    <a:cs typeface="Arial"/>
                  </a:defRPr>
                </a:pPr>
                <a:r>
                  <a:rPr lang="en-GB"/>
                  <a:t>Čas [leta]</a:t>
                </a:r>
              </a:p>
            </c:rich>
          </c:tx>
          <c:layout>
            <c:manualLayout>
              <c:xMode val="edge"/>
              <c:yMode val="edge"/>
              <c:x val="0.51067410106075051"/>
              <c:y val="0.884737777343049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4282368"/>
        <c:crosses val="autoZero"/>
        <c:auto val="1"/>
        <c:lblAlgn val="ctr"/>
        <c:lblOffset val="100"/>
        <c:tickLblSkip val="1"/>
        <c:tickMarkSkip val="1"/>
        <c:noMultiLvlLbl val="0"/>
      </c:catAx>
      <c:valAx>
        <c:axId val="314282368"/>
        <c:scaling>
          <c:orientation val="minMax"/>
          <c:max val="35000"/>
          <c:min val="-20000"/>
        </c:scaling>
        <c:delete val="0"/>
        <c:axPos val="l"/>
        <c:majorGridlines>
          <c:spPr>
            <a:ln w="3175">
              <a:solidFill>
                <a:srgbClr val="00000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Denarni tok [€]</a:t>
                </a:r>
              </a:p>
            </c:rich>
          </c:tx>
          <c:layout>
            <c:manualLayout>
              <c:xMode val="edge"/>
              <c:yMode val="edge"/>
              <c:x val="2.6272487083393182E-2"/>
              <c:y val="0.33644935687386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4259712"/>
        <c:crosses val="autoZero"/>
        <c:crossBetween val="midCat"/>
        <c:majorUnit val="10000"/>
        <c:minorUnit val="1000"/>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 footer="0"/>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15318228387964E-2"/>
          <c:y val="4.3076987795955222E-2"/>
          <c:w val="0.58713517353706768"/>
          <c:h val="0.81538584042343809"/>
        </c:manualLayout>
      </c:layout>
      <c:barChart>
        <c:barDir val="col"/>
        <c:grouping val="clustered"/>
        <c:varyColors val="0"/>
        <c:ser>
          <c:idx val="0"/>
          <c:order val="0"/>
          <c:tx>
            <c:strRef>
              <c:f>'ekonomska primerjava'!$B$5</c:f>
              <c:strCache>
                <c:ptCount val="1"/>
                <c:pt idx="0">
                  <c:v>stroški kapitala</c:v>
                </c:pt>
              </c:strCache>
            </c:strRef>
          </c:tx>
          <c:spPr>
            <a:solidFill>
              <a:srgbClr val="DD0806"/>
            </a:solidFill>
            <a:ln w="25400">
              <a:noFill/>
            </a:ln>
          </c:spPr>
          <c:invertIfNegative val="0"/>
          <c:cat>
            <c:strRef>
              <c:f>'ekonomska primerjava'!$C$4:$L$4</c:f>
              <c:strCache>
                <c:ptCount val="10"/>
                <c:pt idx="0">
                  <c:v>Polena (bukev)</c:v>
                </c:pt>
                <c:pt idx="1">
                  <c:v>Polena (iglavci)</c:v>
                </c:pt>
                <c:pt idx="2">
                  <c:v>SEKANCI</c:v>
                </c:pt>
                <c:pt idx="3">
                  <c:v>PELETI</c:v>
                </c:pt>
                <c:pt idx="4">
                  <c:v>ELKO</c:v>
                </c:pt>
                <c:pt idx="5">
                  <c:v>UNP</c:v>
                </c:pt>
                <c:pt idx="6">
                  <c:v>ZP</c:v>
                </c:pt>
                <c:pt idx="7">
                  <c:v>TČ zrak/voda</c:v>
                </c:pt>
                <c:pt idx="8">
                  <c:v>TČ zemlja/voda</c:v>
                </c:pt>
                <c:pt idx="9">
                  <c:v>TČ voda/voda</c:v>
                </c:pt>
              </c:strCache>
            </c:strRef>
          </c:cat>
          <c:val>
            <c:numRef>
              <c:f>'ekonomska primerjava'!$C$5:$L$5</c:f>
              <c:numCache>
                <c:formatCode>#,##0</c:formatCode>
                <c:ptCount val="10"/>
                <c:pt idx="0">
                  <c:v>474.64283658264401</c:v>
                </c:pt>
                <c:pt idx="1">
                  <c:v>474.64283658264401</c:v>
                </c:pt>
                <c:pt idx="2">
                  <c:v>998.18161542400037</c:v>
                </c:pt>
                <c:pt idx="3">
                  <c:v>657.16602370901614</c:v>
                </c:pt>
                <c:pt idx="4">
                  <c:v>435.61524878601443</c:v>
                </c:pt>
                <c:pt idx="5">
                  <c:v>384.44696372186172</c:v>
                </c:pt>
                <c:pt idx="6">
                  <c:v>442.71042979417587</c:v>
                </c:pt>
                <c:pt idx="7">
                  <c:v>777.67107093474999</c:v>
                </c:pt>
                <c:pt idx="8">
                  <c:v>886.1168485165939</c:v>
                </c:pt>
                <c:pt idx="9">
                  <c:v>418.8293366772856</c:v>
                </c:pt>
              </c:numCache>
            </c:numRef>
          </c:val>
          <c:extLst xmlns:c16r2="http://schemas.microsoft.com/office/drawing/2015/06/chart">
            <c:ext xmlns:c16="http://schemas.microsoft.com/office/drawing/2014/chart" uri="{C3380CC4-5D6E-409C-BE32-E72D297353CC}">
              <c16:uniqueId val="{00000000-B72C-42FB-9B8E-27B31130EC31}"/>
            </c:ext>
          </c:extLst>
        </c:ser>
        <c:ser>
          <c:idx val="1"/>
          <c:order val="1"/>
          <c:tx>
            <c:strRef>
              <c:f>'ekonomska primerjava'!$B$6</c:f>
              <c:strCache>
                <c:ptCount val="1"/>
                <c:pt idx="0">
                  <c:v>stroški energenta</c:v>
                </c:pt>
              </c:strCache>
            </c:strRef>
          </c:tx>
          <c:spPr>
            <a:solidFill>
              <a:srgbClr val="99CC00"/>
            </a:solidFill>
            <a:ln w="25400">
              <a:noFill/>
            </a:ln>
          </c:spPr>
          <c:invertIfNegative val="0"/>
          <c:cat>
            <c:strRef>
              <c:f>'ekonomska primerjava'!$C$4:$L$4</c:f>
              <c:strCache>
                <c:ptCount val="10"/>
                <c:pt idx="0">
                  <c:v>Polena (bukev)</c:v>
                </c:pt>
                <c:pt idx="1">
                  <c:v>Polena (iglavci)</c:v>
                </c:pt>
                <c:pt idx="2">
                  <c:v>SEKANCI</c:v>
                </c:pt>
                <c:pt idx="3">
                  <c:v>PELETI</c:v>
                </c:pt>
                <c:pt idx="4">
                  <c:v>ELKO</c:v>
                </c:pt>
                <c:pt idx="5">
                  <c:v>UNP</c:v>
                </c:pt>
                <c:pt idx="6">
                  <c:v>ZP</c:v>
                </c:pt>
                <c:pt idx="7">
                  <c:v>TČ zrak/voda</c:v>
                </c:pt>
                <c:pt idx="8">
                  <c:v>TČ zemlja/voda</c:v>
                </c:pt>
                <c:pt idx="9">
                  <c:v>TČ voda/voda</c:v>
                </c:pt>
              </c:strCache>
            </c:strRef>
          </c:cat>
          <c:val>
            <c:numRef>
              <c:f>'ekonomska primerjava'!$C$6:$L$6</c:f>
              <c:numCache>
                <c:formatCode>#,##0</c:formatCode>
                <c:ptCount val="10"/>
                <c:pt idx="0">
                  <c:v>726.69980050722461</c:v>
                </c:pt>
                <c:pt idx="1">
                  <c:v>709.10722116884381</c:v>
                </c:pt>
                <c:pt idx="2">
                  <c:v>594.01099902234375</c:v>
                </c:pt>
                <c:pt idx="3">
                  <c:v>1201.7962375986383</c:v>
                </c:pt>
                <c:pt idx="4">
                  <c:v>1972.3376864655629</c:v>
                </c:pt>
                <c:pt idx="5">
                  <c:v>2705.3594301214207</c:v>
                </c:pt>
                <c:pt idx="6">
                  <c:v>1386.30612244898</c:v>
                </c:pt>
                <c:pt idx="7">
                  <c:v>715</c:v>
                </c:pt>
                <c:pt idx="8">
                  <c:v>672.33333333333326</c:v>
                </c:pt>
                <c:pt idx="9">
                  <c:v>626.26086956521738</c:v>
                </c:pt>
              </c:numCache>
            </c:numRef>
          </c:val>
          <c:extLst xmlns:c16r2="http://schemas.microsoft.com/office/drawing/2015/06/chart">
            <c:ext xmlns:c16="http://schemas.microsoft.com/office/drawing/2014/chart" uri="{C3380CC4-5D6E-409C-BE32-E72D297353CC}">
              <c16:uniqueId val="{00000001-B72C-42FB-9B8E-27B31130EC31}"/>
            </c:ext>
          </c:extLst>
        </c:ser>
        <c:ser>
          <c:idx val="2"/>
          <c:order val="2"/>
          <c:tx>
            <c:strRef>
              <c:f>'ekonomska primerjava'!$B$7</c:f>
              <c:strCache>
                <c:ptCount val="1"/>
                <c:pt idx="0">
                  <c:v>ostali stroški</c:v>
                </c:pt>
              </c:strCache>
            </c:strRef>
          </c:tx>
          <c:spPr>
            <a:solidFill>
              <a:srgbClr val="FFCC00"/>
            </a:solidFill>
            <a:ln w="25400">
              <a:noFill/>
            </a:ln>
          </c:spPr>
          <c:invertIfNegative val="0"/>
          <c:cat>
            <c:strRef>
              <c:f>'ekonomska primerjava'!$C$4:$L$4</c:f>
              <c:strCache>
                <c:ptCount val="10"/>
                <c:pt idx="0">
                  <c:v>Polena (bukev)</c:v>
                </c:pt>
                <c:pt idx="1">
                  <c:v>Polena (iglavci)</c:v>
                </c:pt>
                <c:pt idx="2">
                  <c:v>SEKANCI</c:v>
                </c:pt>
                <c:pt idx="3">
                  <c:v>PELETI</c:v>
                </c:pt>
                <c:pt idx="4">
                  <c:v>ELKO</c:v>
                </c:pt>
                <c:pt idx="5">
                  <c:v>UNP</c:v>
                </c:pt>
                <c:pt idx="6">
                  <c:v>ZP</c:v>
                </c:pt>
                <c:pt idx="7">
                  <c:v>TČ zrak/voda</c:v>
                </c:pt>
                <c:pt idx="8">
                  <c:v>TČ zemlja/voda</c:v>
                </c:pt>
                <c:pt idx="9">
                  <c:v>TČ voda/voda</c:v>
                </c:pt>
              </c:strCache>
            </c:strRef>
          </c:cat>
          <c:val>
            <c:numRef>
              <c:f>'ekonomska primerjava'!$C$7:$L$7</c:f>
              <c:numCache>
                <c:formatCode>#,##0</c:formatCode>
                <c:ptCount val="10"/>
                <c:pt idx="0">
                  <c:v>138.35</c:v>
                </c:pt>
                <c:pt idx="1">
                  <c:v>160.25</c:v>
                </c:pt>
                <c:pt idx="2">
                  <c:v>281.2</c:v>
                </c:pt>
                <c:pt idx="3">
                  <c:v>217.2</c:v>
                </c:pt>
                <c:pt idx="4">
                  <c:v>142.19999999999999</c:v>
                </c:pt>
                <c:pt idx="5">
                  <c:v>154.65</c:v>
                </c:pt>
                <c:pt idx="6">
                  <c:v>134.15</c:v>
                </c:pt>
                <c:pt idx="7">
                  <c:v>214.3</c:v>
                </c:pt>
                <c:pt idx="8">
                  <c:v>220.8</c:v>
                </c:pt>
                <c:pt idx="9">
                  <c:v>172.5</c:v>
                </c:pt>
              </c:numCache>
            </c:numRef>
          </c:val>
          <c:extLst xmlns:c16r2="http://schemas.microsoft.com/office/drawing/2015/06/chart">
            <c:ext xmlns:c16="http://schemas.microsoft.com/office/drawing/2014/chart" uri="{C3380CC4-5D6E-409C-BE32-E72D297353CC}">
              <c16:uniqueId val="{00000002-B72C-42FB-9B8E-27B31130EC31}"/>
            </c:ext>
          </c:extLst>
        </c:ser>
        <c:ser>
          <c:idx val="3"/>
          <c:order val="3"/>
          <c:tx>
            <c:strRef>
              <c:f>'ekonomska primerjava'!$B$8</c:f>
              <c:strCache>
                <c:ptCount val="1"/>
                <c:pt idx="0">
                  <c:v>Skupni letni stroški  (EUR)</c:v>
                </c:pt>
              </c:strCache>
            </c:strRef>
          </c:tx>
          <c:spPr>
            <a:solidFill>
              <a:srgbClr val="00ABEA"/>
            </a:solidFill>
            <a:ln w="25400">
              <a:noFill/>
            </a:ln>
          </c:spPr>
          <c:invertIfNegative val="0"/>
          <c:cat>
            <c:strRef>
              <c:f>'ekonomska primerjava'!$C$4:$L$4</c:f>
              <c:strCache>
                <c:ptCount val="10"/>
                <c:pt idx="0">
                  <c:v>Polena (bukev)</c:v>
                </c:pt>
                <c:pt idx="1">
                  <c:v>Polena (iglavci)</c:v>
                </c:pt>
                <c:pt idx="2">
                  <c:v>SEKANCI</c:v>
                </c:pt>
                <c:pt idx="3">
                  <c:v>PELETI</c:v>
                </c:pt>
                <c:pt idx="4">
                  <c:v>ELKO</c:v>
                </c:pt>
                <c:pt idx="5">
                  <c:v>UNP</c:v>
                </c:pt>
                <c:pt idx="6">
                  <c:v>ZP</c:v>
                </c:pt>
                <c:pt idx="7">
                  <c:v>TČ zrak/voda</c:v>
                </c:pt>
                <c:pt idx="8">
                  <c:v>TČ zemlja/voda</c:v>
                </c:pt>
                <c:pt idx="9">
                  <c:v>TČ voda/voda</c:v>
                </c:pt>
              </c:strCache>
            </c:strRef>
          </c:cat>
          <c:val>
            <c:numRef>
              <c:f>'ekonomska primerjava'!$C$8:$L$8</c:f>
              <c:numCache>
                <c:formatCode>#,##0</c:formatCode>
                <c:ptCount val="10"/>
                <c:pt idx="0">
                  <c:v>865.04980050722463</c:v>
                </c:pt>
                <c:pt idx="1">
                  <c:v>869.35722116884392</c:v>
                </c:pt>
                <c:pt idx="2">
                  <c:v>875.21099902234357</c:v>
                </c:pt>
                <c:pt idx="3">
                  <c:v>1418.9962375986381</c:v>
                </c:pt>
                <c:pt idx="4">
                  <c:v>2114.5376864655627</c:v>
                </c:pt>
                <c:pt idx="5">
                  <c:v>2860.0094301214208</c:v>
                </c:pt>
                <c:pt idx="6">
                  <c:v>1520.4561224489798</c:v>
                </c:pt>
                <c:pt idx="7">
                  <c:v>929.30000000000007</c:v>
                </c:pt>
                <c:pt idx="8">
                  <c:v>893.13333333333333</c:v>
                </c:pt>
                <c:pt idx="9">
                  <c:v>798.76086956521738</c:v>
                </c:pt>
              </c:numCache>
            </c:numRef>
          </c:val>
          <c:extLst xmlns:c16r2="http://schemas.microsoft.com/office/drawing/2015/06/chart">
            <c:ext xmlns:c16="http://schemas.microsoft.com/office/drawing/2014/chart" uri="{C3380CC4-5D6E-409C-BE32-E72D297353CC}">
              <c16:uniqueId val="{00000003-B72C-42FB-9B8E-27B31130EC31}"/>
            </c:ext>
          </c:extLst>
        </c:ser>
        <c:dLbls>
          <c:showLegendKey val="0"/>
          <c:showVal val="0"/>
          <c:showCatName val="0"/>
          <c:showSerName val="0"/>
          <c:showPercent val="0"/>
          <c:showBubbleSize val="0"/>
        </c:dLbls>
        <c:gapWidth val="150"/>
        <c:axId val="313360768"/>
        <c:axId val="313362304"/>
      </c:barChart>
      <c:catAx>
        <c:axId val="3133607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3362304"/>
        <c:crosses val="autoZero"/>
        <c:auto val="1"/>
        <c:lblAlgn val="ctr"/>
        <c:lblOffset val="100"/>
        <c:noMultiLvlLbl val="0"/>
      </c:catAx>
      <c:valAx>
        <c:axId val="31336230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3360768"/>
        <c:crosses val="autoZero"/>
        <c:crossBetween val="between"/>
      </c:valAx>
      <c:spPr>
        <a:solidFill>
          <a:srgbClr val="FFFFFF"/>
        </a:solidFill>
        <a:ln w="3175">
          <a:solidFill>
            <a:srgbClr val="000000"/>
          </a:solidFill>
          <a:prstDash val="solid"/>
        </a:ln>
      </c:spPr>
    </c:plotArea>
    <c:legend>
      <c:legendPos val="r"/>
      <c:layout>
        <c:manualLayout>
          <c:xMode val="edge"/>
          <c:yMode val="edge"/>
          <c:x val="0.7586527694643399"/>
          <c:y val="0.149643879022091"/>
          <c:w val="0.1839710197260464"/>
          <c:h val="0.59144961708731203"/>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90"/>
                </a:solidFill>
                <a:latin typeface="Arial"/>
                <a:ea typeface="Arial"/>
                <a:cs typeface="Arial"/>
              </a:defRPr>
            </a:pPr>
            <a:r>
              <a:rPr lang="en-GB"/>
              <a:t>Skupni stroški na MWh porabljene toplote</a:t>
            </a:r>
          </a:p>
        </c:rich>
      </c:tx>
      <c:layout>
        <c:manualLayout>
          <c:xMode val="edge"/>
          <c:yMode val="edge"/>
          <c:x val="0.2905894519131334"/>
          <c:y val="2.0338983050847456E-2"/>
        </c:manualLayout>
      </c:layout>
      <c:overlay val="0"/>
      <c:spPr>
        <a:noFill/>
        <a:ln w="25400">
          <a:noFill/>
        </a:ln>
      </c:spPr>
    </c:title>
    <c:autoTitleDeleted val="0"/>
    <c:plotArea>
      <c:layout>
        <c:manualLayout>
          <c:layoutTarget val="inner"/>
          <c:xMode val="edge"/>
          <c:yMode val="edge"/>
          <c:x val="8.3850931677018639E-2"/>
          <c:y val="0.17627118644067796"/>
          <c:w val="0.90165631469979302"/>
          <c:h val="0.69491525423728817"/>
        </c:manualLayout>
      </c:layout>
      <c:barChart>
        <c:barDir val="col"/>
        <c:grouping val="stack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808080"/>
              </a:solidFill>
              <a:ln w="12700">
                <a:solidFill>
                  <a:srgbClr val="000000"/>
                </a:solidFill>
                <a:prstDash val="solid"/>
              </a:ln>
            </c:spPr>
            <c:extLst xmlns:c16r2="http://schemas.microsoft.com/office/drawing/2015/06/chart">
              <c:ext xmlns:c16="http://schemas.microsoft.com/office/drawing/2014/chart" uri="{C3380CC4-5D6E-409C-BE32-E72D297353CC}">
                <c16:uniqueId val="{00000001-79F2-4830-B6A0-EBABBDF8D774}"/>
              </c:ext>
            </c:extLst>
          </c:dPt>
          <c:dPt>
            <c:idx val="1"/>
            <c:invertIfNegative val="0"/>
            <c:bubble3D val="0"/>
            <c:spPr>
              <a:solidFill>
                <a:srgbClr val="1FB714"/>
              </a:solidFill>
              <a:ln w="12700">
                <a:solidFill>
                  <a:srgbClr val="000000"/>
                </a:solidFill>
                <a:prstDash val="solid"/>
              </a:ln>
            </c:spPr>
            <c:extLst xmlns:c16r2="http://schemas.microsoft.com/office/drawing/2015/06/chart">
              <c:ext xmlns:c16="http://schemas.microsoft.com/office/drawing/2014/chart" uri="{C3380CC4-5D6E-409C-BE32-E72D297353CC}">
                <c16:uniqueId val="{00000003-79F2-4830-B6A0-EBABBDF8D774}"/>
              </c:ext>
            </c:extLst>
          </c:dPt>
          <c:dPt>
            <c:idx val="2"/>
            <c:invertIfNegative val="0"/>
            <c:bubble3D val="0"/>
            <c:spPr>
              <a:solidFill>
                <a:srgbClr val="99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5-79F2-4830-B6A0-EBABBDF8D774}"/>
              </c:ext>
            </c:extLst>
          </c:dPt>
          <c:dPt>
            <c:idx val="3"/>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7-79F2-4830-B6A0-EBABBDF8D774}"/>
              </c:ext>
            </c:extLst>
          </c:dPt>
          <c:dPt>
            <c:idx val="4"/>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79F2-4830-B6A0-EBABBDF8D774}"/>
              </c:ext>
            </c:extLst>
          </c:dPt>
          <c:dPt>
            <c:idx val="5"/>
            <c:invertIfNegative val="0"/>
            <c:bubble3D val="0"/>
            <c:extLst xmlns:c16r2="http://schemas.microsoft.com/office/drawing/2015/06/chart">
              <c:ext xmlns:c16="http://schemas.microsoft.com/office/drawing/2014/chart" uri="{C3380CC4-5D6E-409C-BE32-E72D297353CC}">
                <c16:uniqueId val="{0000000A-79F2-4830-B6A0-EBABBDF8D774}"/>
              </c:ext>
            </c:extLst>
          </c:dPt>
          <c:dPt>
            <c:idx val="6"/>
            <c:invertIfNegative val="0"/>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C-79F2-4830-B6A0-EBABBDF8D774}"/>
              </c:ext>
            </c:extLst>
          </c:dPt>
          <c:dLbls>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'stroški investicije'!$D$31:$N$31</c:f>
              <c:strCache>
                <c:ptCount val="11"/>
                <c:pt idx="0">
                  <c:v>ELKO obstoječe</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'stroški investicije'!$D$80:$N$80</c:f>
              <c:numCache>
                <c:formatCode>0.0</c:formatCode>
                <c:ptCount val="11"/>
                <c:pt idx="0">
                  <c:v>133.0781369870719</c:v>
                </c:pt>
                <c:pt idx="1">
                  <c:v>66.984631854493429</c:v>
                </c:pt>
                <c:pt idx="2">
                  <c:v>67.200002887574399</c:v>
                </c:pt>
                <c:pt idx="3">
                  <c:v>93.669630722317194</c:v>
                </c:pt>
                <c:pt idx="4">
                  <c:v>103.80811306538271</c:v>
                </c:pt>
                <c:pt idx="5">
                  <c:v>127.50764676257886</c:v>
                </c:pt>
                <c:pt idx="6">
                  <c:v>162.22281969216414</c:v>
                </c:pt>
                <c:pt idx="7">
                  <c:v>98.158327612157791</c:v>
                </c:pt>
                <c:pt idx="8">
                  <c:v>85.348553546737506</c:v>
                </c:pt>
                <c:pt idx="9">
                  <c:v>88.962509092496362</c:v>
                </c:pt>
                <c:pt idx="10">
                  <c:v>60.879510312125142</c:v>
                </c:pt>
              </c:numCache>
            </c:numRef>
          </c:val>
          <c:extLst xmlns:c16r2="http://schemas.microsoft.com/office/drawing/2015/06/chart">
            <c:ext xmlns:c16="http://schemas.microsoft.com/office/drawing/2014/chart" uri="{C3380CC4-5D6E-409C-BE32-E72D297353CC}">
              <c16:uniqueId val="{0000000D-79F2-4830-B6A0-EBABBDF8D774}"/>
            </c:ext>
          </c:extLst>
        </c:ser>
        <c:dLbls>
          <c:showLegendKey val="0"/>
          <c:showVal val="0"/>
          <c:showCatName val="0"/>
          <c:showSerName val="0"/>
          <c:showPercent val="0"/>
          <c:showBubbleSize val="0"/>
        </c:dLbls>
        <c:gapWidth val="150"/>
        <c:overlap val="100"/>
        <c:axId val="312687616"/>
        <c:axId val="312689408"/>
      </c:barChart>
      <c:catAx>
        <c:axId val="31268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2689408"/>
        <c:crosses val="autoZero"/>
        <c:auto val="1"/>
        <c:lblAlgn val="ctr"/>
        <c:lblOffset val="100"/>
        <c:tickLblSkip val="1"/>
        <c:tickMarkSkip val="1"/>
        <c:noMultiLvlLbl val="0"/>
      </c:catAx>
      <c:valAx>
        <c:axId val="312689408"/>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[Evro / MWh]</a:t>
                </a:r>
              </a:p>
            </c:rich>
          </c:tx>
          <c:layout>
            <c:manualLayout>
              <c:xMode val="edge"/>
              <c:yMode val="edge"/>
              <c:x val="1.1375279227635326E-2"/>
              <c:y val="0.45762711864406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2687616"/>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Arial"/>
                <a:ea typeface="Arial"/>
                <a:cs typeface="Arial"/>
              </a:defRPr>
            </a:pPr>
            <a:r>
              <a:rPr lang="en-GB" sz="1675" b="1" i="0" u="none" strike="noStrike" baseline="0">
                <a:solidFill>
                  <a:srgbClr val="000090"/>
                </a:solidFill>
                <a:latin typeface="Arial"/>
                <a:cs typeface="Arial"/>
              </a:rPr>
              <a:t>Stroški na enoto energenta</a:t>
            </a:r>
            <a:endParaRPr lang="en-GB" sz="1125" b="0" i="0" u="none" strike="noStrike" baseline="0">
              <a:solidFill>
                <a:srgbClr val="000000"/>
              </a:solidFill>
              <a:latin typeface="Arial"/>
              <a:cs typeface="Arial"/>
            </a:endParaRPr>
          </a:p>
          <a:p>
            <a:pPr>
              <a:defRPr sz="1125" b="0" i="0" u="none" strike="noStrike" baseline="0">
                <a:solidFill>
                  <a:srgbClr val="000000"/>
                </a:solidFill>
                <a:latin typeface="Arial"/>
                <a:ea typeface="Arial"/>
                <a:cs typeface="Arial"/>
              </a:defRPr>
            </a:pPr>
            <a:r>
              <a:rPr lang="en-GB" sz="1200" b="0" i="0" u="none" strike="noStrike" baseline="0">
                <a:solidFill>
                  <a:srgbClr val="000000"/>
                </a:solidFill>
                <a:latin typeface="Calibri"/>
                <a:cs typeface="Calibri"/>
              </a:rPr>
              <a:t>(Za količino energije se upošteva kurilnost sveže snovi)</a:t>
            </a:r>
          </a:p>
        </c:rich>
      </c:tx>
      <c:layout>
        <c:manualLayout>
          <c:xMode val="edge"/>
          <c:yMode val="edge"/>
          <c:x val="0.27714581178903824"/>
          <c:y val="2.0338983050847456E-2"/>
        </c:manualLayout>
      </c:layout>
      <c:overlay val="0"/>
      <c:spPr>
        <a:noFill/>
        <a:ln w="25400">
          <a:noFill/>
        </a:ln>
      </c:spPr>
    </c:title>
    <c:autoTitleDeleted val="0"/>
    <c:plotArea>
      <c:layout>
        <c:manualLayout>
          <c:layoutTarget val="inner"/>
          <c:xMode val="edge"/>
          <c:yMode val="edge"/>
          <c:x val="7.4457083764219237E-2"/>
          <c:y val="0.2288135593220339"/>
          <c:w val="0.91106514994829368"/>
          <c:h val="0.67796610169491522"/>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1-BFF6-4C35-B691-45E4AD6102D8}"/>
              </c:ext>
            </c:extLst>
          </c:dPt>
          <c:dPt>
            <c:idx val="1"/>
            <c:invertIfNegative val="0"/>
            <c:bubble3D val="0"/>
            <c:spPr>
              <a:solidFill>
                <a:srgbClr val="1FB714"/>
              </a:solidFill>
              <a:ln w="12700">
                <a:solidFill>
                  <a:srgbClr val="000000"/>
                </a:solidFill>
                <a:prstDash val="solid"/>
              </a:ln>
            </c:spPr>
            <c:extLst xmlns:c16r2="http://schemas.microsoft.com/office/drawing/2015/06/chart">
              <c:ext xmlns:c16="http://schemas.microsoft.com/office/drawing/2014/chart" uri="{C3380CC4-5D6E-409C-BE32-E72D297353CC}">
                <c16:uniqueId val="{00000003-BFF6-4C35-B691-45E4AD6102D8}"/>
              </c:ext>
            </c:extLst>
          </c:dPt>
          <c:dPt>
            <c:idx val="2"/>
            <c:invertIfNegative val="0"/>
            <c:bubble3D val="0"/>
            <c:spPr>
              <a:solidFill>
                <a:srgbClr val="99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5-BFF6-4C35-B691-45E4AD6102D8}"/>
              </c:ext>
            </c:extLst>
          </c:dPt>
          <c:dPt>
            <c:idx val="3"/>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7-BFF6-4C35-B691-45E4AD6102D8}"/>
              </c:ext>
            </c:extLst>
          </c:dPt>
          <c:dPt>
            <c:idx val="4"/>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BFF6-4C35-B691-45E4AD6102D8}"/>
              </c:ext>
            </c:extLst>
          </c:dPt>
          <c:dPt>
            <c:idx val="6"/>
            <c:invertIfNegative val="0"/>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B-BFF6-4C35-B691-45E4AD6102D8}"/>
              </c:ext>
            </c:extLst>
          </c:dPt>
          <c:dLbls>
            <c:dLbl>
              <c:idx val="1"/>
              <c:spPr>
                <a:noFill/>
                <a:ln w="25400">
                  <a:noFill/>
                </a:ln>
              </c:spPr>
              <c:txPr>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'izračun energentov'!$D$9:$N$9</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energentov'!$D$26:$N$26</c:f>
              <c:numCache>
                <c:formatCode>0.0</c:formatCode>
                <c:ptCount val="11"/>
                <c:pt idx="0">
                  <c:v>87.81019589095034</c:v>
                </c:pt>
                <c:pt idx="1">
                  <c:v>32.382340923078722</c:v>
                </c:pt>
                <c:pt idx="2">
                  <c:v>30.887771342013547</c:v>
                </c:pt>
                <c:pt idx="3">
                  <c:v>25.380494956005471</c:v>
                </c:pt>
                <c:pt idx="4">
                  <c:v>54.04062692953736</c:v>
                </c:pt>
                <c:pt idx="5">
                  <c:v>87.81019589095034</c:v>
                </c:pt>
                <c:pt idx="6">
                  <c:v>131.53361207594961</c:v>
                </c:pt>
                <c:pt idx="7">
                  <c:v>66.900000000000006</c:v>
                </c:pt>
                <c:pt idx="8">
                  <c:v>133</c:v>
                </c:pt>
                <c:pt idx="9">
                  <c:v>133</c:v>
                </c:pt>
                <c:pt idx="10">
                  <c:v>133</c:v>
                </c:pt>
              </c:numCache>
            </c:numRef>
          </c:val>
          <c:extLst xmlns:c16r2="http://schemas.microsoft.com/office/drawing/2015/06/chart">
            <c:ext xmlns:c16="http://schemas.microsoft.com/office/drawing/2014/chart" uri="{C3380CC4-5D6E-409C-BE32-E72D297353CC}">
              <c16:uniqueId val="{0000000C-BFF6-4C35-B691-45E4AD6102D8}"/>
            </c:ext>
          </c:extLst>
        </c:ser>
        <c:dLbls>
          <c:showLegendKey val="0"/>
          <c:showVal val="0"/>
          <c:showCatName val="0"/>
          <c:showSerName val="0"/>
          <c:showPercent val="0"/>
          <c:showBubbleSize val="0"/>
        </c:dLbls>
        <c:gapWidth val="150"/>
        <c:axId val="304962560"/>
        <c:axId val="304964352"/>
      </c:barChart>
      <c:catAx>
        <c:axId val="30496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04964352"/>
        <c:crosses val="autoZero"/>
        <c:auto val="1"/>
        <c:lblAlgn val="ctr"/>
        <c:lblOffset val="100"/>
        <c:tickLblSkip val="1"/>
        <c:tickMarkSkip val="1"/>
        <c:noMultiLvlLbl val="0"/>
      </c:catAx>
      <c:valAx>
        <c:axId val="304964352"/>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[Evro / MWh]</a:t>
                </a:r>
              </a:p>
            </c:rich>
          </c:tx>
          <c:layout>
            <c:manualLayout>
              <c:xMode val="edge"/>
              <c:yMode val="edge"/>
              <c:x val="1.1375387797311272E-2"/>
              <c:y val="0.4745762711864406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0496256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l-SI"/>
              <a:t>Sestavljeni</a:t>
            </a:r>
            <a:r>
              <a:rPr lang="sl-SI" baseline="0"/>
              <a:t> letni strošek energenta</a:t>
            </a:r>
          </a:p>
          <a:p>
            <a:pPr>
              <a:defRPr sz="1400" b="0" i="0" u="none" strike="noStrike" kern="1200" spc="0" baseline="0">
                <a:solidFill>
                  <a:schemeClr val="tx1">
                    <a:lumMod val="65000"/>
                    <a:lumOff val="35000"/>
                  </a:schemeClr>
                </a:solidFill>
                <a:latin typeface="+mn-lt"/>
                <a:ea typeface="+mn-ea"/>
                <a:cs typeface="+mn-cs"/>
              </a:defRPr>
            </a:pPr>
            <a:r>
              <a:rPr lang="sl-SI" sz="600" baseline="0"/>
              <a:t>(*Omrežnina vključena v ceno brez dajatev, ker je znesek omrežnin odvisen tako od rabe energije kot od priključnih moči in velikosti merilnih mest, kar pa je težko "splošno" določljivo…)</a:t>
            </a:r>
            <a:endParaRPr lang="en-GB" sz="600"/>
          </a:p>
        </c:rich>
      </c:tx>
      <c:overlay val="0"/>
      <c:spPr>
        <a:noFill/>
        <a:ln>
          <a:noFill/>
        </a:ln>
        <a:effectLst/>
      </c:spPr>
    </c:title>
    <c:autoTitleDeleted val="0"/>
    <c:plotArea>
      <c:layout/>
      <c:barChart>
        <c:barDir val="col"/>
        <c:grouping val="stacked"/>
        <c:varyColors val="0"/>
        <c:ser>
          <c:idx val="0"/>
          <c:order val="0"/>
          <c:tx>
            <c:strRef>
              <c:f>'izračun energentov'!$A$18</c:f>
              <c:strCache>
                <c:ptCount val="1"/>
                <c:pt idx="0">
                  <c:v>Cena brez dajatev</c:v>
                </c:pt>
              </c:strCache>
            </c:strRef>
          </c:tx>
          <c:spPr>
            <a:solidFill>
              <a:schemeClr val="accent1"/>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energentov'!$D$18:$N$18</c:f>
              <c:numCache>
                <c:formatCode>0.00</c:formatCode>
                <c:ptCount val="11"/>
                <c:pt idx="0">
                  <c:v>1423.2136150905565</c:v>
                </c:pt>
                <c:pt idx="1">
                  <c:v>583.36049221903659</c:v>
                </c:pt>
                <c:pt idx="2">
                  <c:v>568.94034522036372</c:v>
                </c:pt>
                <c:pt idx="3">
                  <c:v>462.3040975592981</c:v>
                </c:pt>
                <c:pt idx="4">
                  <c:v>962.94773573658858</c:v>
                </c:pt>
                <c:pt idx="5">
                  <c:v>1106.9439228482106</c:v>
                </c:pt>
                <c:pt idx="6">
                  <c:v>2083.4180803740005</c:v>
                </c:pt>
                <c:pt idx="7">
                  <c:v>983.38909334225502</c:v>
                </c:pt>
                <c:pt idx="8">
                  <c:v>544.45470232959462</c:v>
                </c:pt>
                <c:pt idx="9">
                  <c:v>492.60187353629982</c:v>
                </c:pt>
                <c:pt idx="10">
                  <c:v>449.76692801140427</c:v>
                </c:pt>
              </c:numCache>
            </c:numRef>
          </c:val>
          <c:extLst xmlns:c16r2="http://schemas.microsoft.com/office/drawing/2015/06/chart">
            <c:ext xmlns:c16="http://schemas.microsoft.com/office/drawing/2014/chart" uri="{C3380CC4-5D6E-409C-BE32-E72D297353CC}">
              <c16:uniqueId val="{00000000-5937-472E-ADF1-B2C3591AA73E}"/>
            </c:ext>
          </c:extLst>
        </c:ser>
        <c:ser>
          <c:idx val="1"/>
          <c:order val="1"/>
          <c:tx>
            <c:strRef>
              <c:f>'izračun energentov'!$A$19</c:f>
              <c:strCache>
                <c:ptCount val="1"/>
                <c:pt idx="0">
                  <c:v>DDV</c:v>
                </c:pt>
              </c:strCache>
            </c:strRef>
          </c:tx>
          <c:spPr>
            <a:solidFill>
              <a:schemeClr val="accent2"/>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energentov'!$D$19:$N$19</c:f>
              <c:numCache>
                <c:formatCode>0.00</c:formatCode>
                <c:ptCount val="11"/>
                <c:pt idx="0">
                  <c:v>452.41787110091519</c:v>
                </c:pt>
                <c:pt idx="1">
                  <c:v>128.33930828818805</c:v>
                </c:pt>
                <c:pt idx="2">
                  <c:v>125.16687594848001</c:v>
                </c:pt>
                <c:pt idx="3">
                  <c:v>101.70690146304558</c:v>
                </c:pt>
                <c:pt idx="4">
                  <c:v>211.84850186204949</c:v>
                </c:pt>
                <c:pt idx="5">
                  <c:v>351.88056641182294</c:v>
                </c:pt>
                <c:pt idx="6">
                  <c:v>484.0648152677972</c:v>
                </c:pt>
                <c:pt idx="7">
                  <c:v>246.20274339243898</c:v>
                </c:pt>
                <c:pt idx="8">
                  <c:v>126.22950819672133</c:v>
                </c:pt>
                <c:pt idx="9">
                  <c:v>114.20765027322405</c:v>
                </c:pt>
                <c:pt idx="10">
                  <c:v>104.27655024946546</c:v>
                </c:pt>
              </c:numCache>
            </c:numRef>
          </c:val>
          <c:extLst xmlns:c16r2="http://schemas.microsoft.com/office/drawing/2015/06/chart">
            <c:ext xmlns:c16="http://schemas.microsoft.com/office/drawing/2014/chart" uri="{C3380CC4-5D6E-409C-BE32-E72D297353CC}">
              <c16:uniqueId val="{00000001-5937-472E-ADF1-B2C3591AA73E}"/>
            </c:ext>
          </c:extLst>
        </c:ser>
        <c:ser>
          <c:idx val="2"/>
          <c:order val="2"/>
          <c:tx>
            <c:strRef>
              <c:f>'izračun energentov'!$A$20</c:f>
              <c:strCache>
                <c:ptCount val="1"/>
                <c:pt idx="0">
                  <c:v>Dajatev CO2</c:v>
                </c:pt>
              </c:strCache>
            </c:strRef>
          </c:tx>
          <c:spPr>
            <a:solidFill>
              <a:schemeClr val="accent3"/>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energentov'!$D$20:$N$20</c:f>
              <c:numCache>
                <c:formatCode>0.00</c:formatCode>
                <c:ptCount val="11"/>
                <c:pt idx="0">
                  <c:v>133.16929383332115</c:v>
                </c:pt>
                <c:pt idx="1">
                  <c:v>0</c:v>
                </c:pt>
                <c:pt idx="2">
                  <c:v>0</c:v>
                </c:pt>
                <c:pt idx="3">
                  <c:v>0</c:v>
                </c:pt>
                <c:pt idx="4">
                  <c:v>0</c:v>
                </c:pt>
                <c:pt idx="5">
                  <c:v>103.57611742591644</c:v>
                </c:pt>
                <c:pt idx="6">
                  <c:v>80.214044327817092</c:v>
                </c:pt>
                <c:pt idx="7">
                  <c:v>64.285714285714292</c:v>
                </c:pt>
                <c:pt idx="8">
                  <c:v>0</c:v>
                </c:pt>
                <c:pt idx="9">
                  <c:v>0</c:v>
                </c:pt>
                <c:pt idx="10">
                  <c:v>0</c:v>
                </c:pt>
              </c:numCache>
            </c:numRef>
          </c:val>
          <c:extLst xmlns:c16r2="http://schemas.microsoft.com/office/drawing/2015/06/chart">
            <c:ext xmlns:c16="http://schemas.microsoft.com/office/drawing/2014/chart" uri="{C3380CC4-5D6E-409C-BE32-E72D297353CC}">
              <c16:uniqueId val="{00000002-5937-472E-ADF1-B2C3591AA73E}"/>
            </c:ext>
          </c:extLst>
        </c:ser>
        <c:ser>
          <c:idx val="3"/>
          <c:order val="3"/>
          <c:tx>
            <c:strRef>
              <c:f>'izračun energentov'!$A$21</c:f>
              <c:strCache>
                <c:ptCount val="1"/>
                <c:pt idx="0">
                  <c:v>Prispevek za energetsko učinkovitost</c:v>
                </c:pt>
              </c:strCache>
            </c:strRef>
          </c:tx>
          <c:spPr>
            <a:solidFill>
              <a:schemeClr val="accent4"/>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energentov'!$D$21:$N$21</c:f>
              <c:numCache>
                <c:formatCode>0.00</c:formatCode>
                <c:ptCount val="11"/>
                <c:pt idx="0">
                  <c:v>22.807843088558535</c:v>
                </c:pt>
                <c:pt idx="1">
                  <c:v>0</c:v>
                </c:pt>
                <c:pt idx="2">
                  <c:v>0</c:v>
                </c:pt>
                <c:pt idx="3">
                  <c:v>0</c:v>
                </c:pt>
                <c:pt idx="4">
                  <c:v>0</c:v>
                </c:pt>
                <c:pt idx="5">
                  <c:v>17.739433513323302</c:v>
                </c:pt>
                <c:pt idx="6">
                  <c:v>16.391221298971509</c:v>
                </c:pt>
                <c:pt idx="7">
                  <c:v>16.326530612244902</c:v>
                </c:pt>
                <c:pt idx="8">
                  <c:v>4.2105263157894743</c:v>
                </c:pt>
                <c:pt idx="9">
                  <c:v>3.8095238095238098</c:v>
                </c:pt>
                <c:pt idx="10">
                  <c:v>3.4782608695652182</c:v>
                </c:pt>
              </c:numCache>
            </c:numRef>
          </c:val>
          <c:extLst xmlns:c16r2="http://schemas.microsoft.com/office/drawing/2015/06/chart">
            <c:ext xmlns:c16="http://schemas.microsoft.com/office/drawing/2014/chart" uri="{C3380CC4-5D6E-409C-BE32-E72D297353CC}">
              <c16:uniqueId val="{00000003-5937-472E-ADF1-B2C3591AA73E}"/>
            </c:ext>
          </c:extLst>
        </c:ser>
        <c:ser>
          <c:idx val="4"/>
          <c:order val="4"/>
          <c:tx>
            <c:strRef>
              <c:f>'izračun energentov'!$A$22</c:f>
              <c:strCache>
                <c:ptCount val="1"/>
                <c:pt idx="0">
                  <c:v>Prispevek OVE in SPTE</c:v>
                </c:pt>
              </c:strCache>
            </c:strRef>
          </c:tx>
          <c:spPr>
            <a:solidFill>
              <a:schemeClr val="accent5"/>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energentov'!$D$22:$N$22</c:f>
              <c:numCache>
                <c:formatCode>0.00</c:formatCode>
                <c:ptCount val="11"/>
                <c:pt idx="0">
                  <c:v>28.224705822091188</c:v>
                </c:pt>
                <c:pt idx="1">
                  <c:v>0</c:v>
                </c:pt>
                <c:pt idx="2">
                  <c:v>0</c:v>
                </c:pt>
                <c:pt idx="3">
                  <c:v>0</c:v>
                </c:pt>
                <c:pt idx="4">
                  <c:v>0</c:v>
                </c:pt>
                <c:pt idx="5">
                  <c:v>21.952548972737588</c:v>
                </c:pt>
                <c:pt idx="6">
                  <c:v>20.271268852834329</c:v>
                </c:pt>
                <c:pt idx="7">
                  <c:v>20.204081632653065</c:v>
                </c:pt>
                <c:pt idx="8">
                  <c:v>8.3684210526315805</c:v>
                </c:pt>
                <c:pt idx="9">
                  <c:v>7.571428571428573</c:v>
                </c:pt>
                <c:pt idx="10">
                  <c:v>6.9130434782608718</c:v>
                </c:pt>
              </c:numCache>
            </c:numRef>
          </c:val>
          <c:extLst xmlns:c16r2="http://schemas.microsoft.com/office/drawing/2015/06/chart">
            <c:ext xmlns:c16="http://schemas.microsoft.com/office/drawing/2014/chart" uri="{C3380CC4-5D6E-409C-BE32-E72D297353CC}">
              <c16:uniqueId val="{00000004-5937-472E-ADF1-B2C3591AA73E}"/>
            </c:ext>
          </c:extLst>
        </c:ser>
        <c:ser>
          <c:idx val="5"/>
          <c:order val="5"/>
          <c:tx>
            <c:strRef>
              <c:f>'izračun energentov'!$A$23</c:f>
              <c:strCache>
                <c:ptCount val="1"/>
                <c:pt idx="0">
                  <c:v>Prispevek za delovanje op. trga</c:v>
                </c:pt>
              </c:strCache>
            </c:strRef>
          </c:tx>
          <c:spPr>
            <a:solidFill>
              <a:schemeClr val="accent6"/>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energentov'!$D$23:$N$23</c:f>
              <c:numCache>
                <c:formatCode>0.00</c:formatCode>
                <c:ptCount val="11"/>
                <c:pt idx="0">
                  <c:v>0</c:v>
                </c:pt>
                <c:pt idx="1">
                  <c:v>0</c:v>
                </c:pt>
                <c:pt idx="2">
                  <c:v>0</c:v>
                </c:pt>
                <c:pt idx="3">
                  <c:v>0</c:v>
                </c:pt>
                <c:pt idx="4">
                  <c:v>0</c:v>
                </c:pt>
                <c:pt idx="5">
                  <c:v>0</c:v>
                </c:pt>
                <c:pt idx="6">
                  <c:v>0</c:v>
                </c:pt>
                <c:pt idx="7">
                  <c:v>0</c:v>
                </c:pt>
                <c:pt idx="8">
                  <c:v>0.68421052631578938</c:v>
                </c:pt>
                <c:pt idx="9">
                  <c:v>0.61904761904761896</c:v>
                </c:pt>
                <c:pt idx="10">
                  <c:v>0.56521739130434778</c:v>
                </c:pt>
              </c:numCache>
            </c:numRef>
          </c:val>
          <c:extLst xmlns:c16r2="http://schemas.microsoft.com/office/drawing/2015/06/chart">
            <c:ext xmlns:c16="http://schemas.microsoft.com/office/drawing/2014/chart" uri="{C3380CC4-5D6E-409C-BE32-E72D297353CC}">
              <c16:uniqueId val="{00000005-5937-472E-ADF1-B2C3591AA73E}"/>
            </c:ext>
          </c:extLst>
        </c:ser>
        <c:ser>
          <c:idx val="6"/>
          <c:order val="6"/>
          <c:tx>
            <c:strRef>
              <c:f>'izračun energentov'!$A$24</c:f>
              <c:strCache>
                <c:ptCount val="1"/>
                <c:pt idx="0">
                  <c:v>Trošarina</c:v>
                </c:pt>
              </c:strCache>
            </c:strRef>
          </c:tx>
          <c:spPr>
            <a:solidFill>
              <a:schemeClr val="accent1">
                <a:lumMod val="60000"/>
              </a:schemeClr>
            </a:solidFill>
            <a:ln>
              <a:noFill/>
            </a:ln>
            <a:effectLst/>
          </c:spPr>
          <c:invertIfNegative val="0"/>
          <c:cat>
            <c:strRef>
              <c:f>'izračun energentov'!$D$9:$N$10</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energentov'!$D$24:$N$24</c:f>
              <c:numCache>
                <c:formatCode>0.00</c:formatCode>
                <c:ptCount val="11"/>
                <c:pt idx="0">
                  <c:v>449.02941080599612</c:v>
                </c:pt>
                <c:pt idx="1">
                  <c:v>0</c:v>
                </c:pt>
                <c:pt idx="2">
                  <c:v>0</c:v>
                </c:pt>
                <c:pt idx="3">
                  <c:v>0</c:v>
                </c:pt>
                <c:pt idx="4">
                  <c:v>0</c:v>
                </c:pt>
                <c:pt idx="5">
                  <c:v>349.24509729355253</c:v>
                </c:pt>
                <c:pt idx="6">
                  <c:v>0</c:v>
                </c:pt>
                <c:pt idx="7">
                  <c:v>34.897959183673471</c:v>
                </c:pt>
                <c:pt idx="8">
                  <c:v>16.05263157894737</c:v>
                </c:pt>
                <c:pt idx="9">
                  <c:v>14.523809523809526</c:v>
                </c:pt>
                <c:pt idx="10">
                  <c:v>13.260869565217394</c:v>
                </c:pt>
              </c:numCache>
            </c:numRef>
          </c:val>
          <c:extLst xmlns:c16r2="http://schemas.microsoft.com/office/drawing/2015/06/chart">
            <c:ext xmlns:c16="http://schemas.microsoft.com/office/drawing/2014/chart" uri="{C3380CC4-5D6E-409C-BE32-E72D297353CC}">
              <c16:uniqueId val="{00000006-5937-472E-ADF1-B2C3591AA73E}"/>
            </c:ext>
          </c:extLst>
        </c:ser>
        <c:dLbls>
          <c:showLegendKey val="0"/>
          <c:showVal val="0"/>
          <c:showCatName val="0"/>
          <c:showSerName val="0"/>
          <c:showPercent val="0"/>
          <c:showBubbleSize val="0"/>
        </c:dLbls>
        <c:gapWidth val="150"/>
        <c:overlap val="100"/>
        <c:axId val="313078912"/>
        <c:axId val="313080832"/>
      </c:barChart>
      <c:catAx>
        <c:axId val="31307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Energent</a:t>
                </a:r>
                <a:r>
                  <a:rPr lang="sl-SI" baseline="0"/>
                  <a:t> [/]</a:t>
                </a:r>
                <a:endParaRPr lang="en-GB"/>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080832"/>
        <c:crosses val="autoZero"/>
        <c:auto val="1"/>
        <c:lblAlgn val="ctr"/>
        <c:lblOffset val="100"/>
        <c:noMultiLvlLbl val="0"/>
      </c:catAx>
      <c:valAx>
        <c:axId val="313080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Letni</a:t>
                </a:r>
                <a:r>
                  <a:rPr lang="sl-SI" baseline="0"/>
                  <a:t> strošek [€]</a:t>
                </a:r>
                <a:endParaRPr lang="en-GB"/>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07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90"/>
                </a:solidFill>
                <a:latin typeface="Arial"/>
                <a:ea typeface="Arial"/>
                <a:cs typeface="Arial"/>
              </a:defRPr>
            </a:pPr>
            <a:r>
              <a:rPr lang="en-GB"/>
              <a:t>Masa letne količine energenta</a:t>
            </a:r>
          </a:p>
        </c:rich>
      </c:tx>
      <c:layout>
        <c:manualLayout>
          <c:xMode val="edge"/>
          <c:yMode val="edge"/>
          <c:x val="0.34022750775594623"/>
          <c:y val="2.0338983050847456E-2"/>
        </c:manualLayout>
      </c:layout>
      <c:overlay val="0"/>
      <c:spPr>
        <a:noFill/>
        <a:ln w="25400">
          <a:noFill/>
        </a:ln>
      </c:spPr>
    </c:title>
    <c:autoTitleDeleted val="0"/>
    <c:plotArea>
      <c:layout>
        <c:manualLayout>
          <c:layoutTarget val="inner"/>
          <c:xMode val="edge"/>
          <c:yMode val="edge"/>
          <c:x val="9.2037228541882107E-2"/>
          <c:y val="0.17627118644067796"/>
          <c:w val="0.89348500517063079"/>
          <c:h val="0.72711864406779658"/>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1-8777-43EF-B20E-13A52E4FB8A2}"/>
              </c:ext>
            </c:extLst>
          </c:dPt>
          <c:dPt>
            <c:idx val="1"/>
            <c:invertIfNegative val="0"/>
            <c:bubble3D val="0"/>
            <c:spPr>
              <a:solidFill>
                <a:srgbClr val="1FB714"/>
              </a:solidFill>
              <a:ln w="12700">
                <a:solidFill>
                  <a:srgbClr val="000000"/>
                </a:solidFill>
                <a:prstDash val="solid"/>
              </a:ln>
            </c:spPr>
            <c:extLst xmlns:c16r2="http://schemas.microsoft.com/office/drawing/2015/06/chart">
              <c:ext xmlns:c16="http://schemas.microsoft.com/office/drawing/2014/chart" uri="{C3380CC4-5D6E-409C-BE32-E72D297353CC}">
                <c16:uniqueId val="{00000003-8777-43EF-B20E-13A52E4FB8A2}"/>
              </c:ext>
            </c:extLst>
          </c:dPt>
          <c:dPt>
            <c:idx val="2"/>
            <c:invertIfNegative val="0"/>
            <c:bubble3D val="0"/>
            <c:spPr>
              <a:solidFill>
                <a:srgbClr val="99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5-8777-43EF-B20E-13A52E4FB8A2}"/>
              </c:ext>
            </c:extLst>
          </c:dPt>
          <c:dPt>
            <c:idx val="3"/>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7-8777-43EF-B20E-13A52E4FB8A2}"/>
              </c:ext>
            </c:extLst>
          </c:dPt>
          <c:dPt>
            <c:idx val="4"/>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9-8777-43EF-B20E-13A52E4FB8A2}"/>
              </c:ext>
            </c:extLst>
          </c:dPt>
          <c:dLbls>
            <c:dLbl>
              <c:idx val="1"/>
              <c:spPr>
                <a:noFill/>
                <a:ln w="25400">
                  <a:noFill/>
                </a:ln>
              </c:spPr>
              <c:txPr>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'izračun energentov'!$D$9:$J$9</c:f>
              <c:strCache>
                <c:ptCount val="7"/>
                <c:pt idx="0">
                  <c:v>Obstoječe (ELKO)</c:v>
                </c:pt>
                <c:pt idx="1">
                  <c:v>Polena (bukev)</c:v>
                </c:pt>
                <c:pt idx="2">
                  <c:v>Polena (iglavci)</c:v>
                </c:pt>
                <c:pt idx="3">
                  <c:v>Sekanci</c:v>
                </c:pt>
                <c:pt idx="4">
                  <c:v>Peleti</c:v>
                </c:pt>
                <c:pt idx="5">
                  <c:v>ELKO</c:v>
                </c:pt>
                <c:pt idx="6">
                  <c:v>UNP</c:v>
                </c:pt>
              </c:strCache>
            </c:strRef>
          </c:cat>
          <c:val>
            <c:numRef>
              <c:f>'izračun energentov'!$D$32:$J$32</c:f>
              <c:numCache>
                <c:formatCode>#,##0</c:formatCode>
                <c:ptCount val="7"/>
                <c:pt idx="0">
                  <c:v>2409.0784262289949</c:v>
                </c:pt>
                <c:pt idx="1">
                  <c:v>5474.6138500555735</c:v>
                </c:pt>
                <c:pt idx="2">
                  <c:v>5597.6388803939008</c:v>
                </c:pt>
                <c:pt idx="3">
                  <c:v>5971.8811661189338</c:v>
                </c:pt>
                <c:pt idx="4">
                  <c:v>4607.0440690142668</c:v>
                </c:pt>
                <c:pt idx="5">
                  <c:v>1873.7276648447737</c:v>
                </c:pt>
                <c:pt idx="6">
                  <c:v>1584.4847255672455</c:v>
                </c:pt>
              </c:numCache>
            </c:numRef>
          </c:val>
          <c:extLst xmlns:c16r2="http://schemas.microsoft.com/office/drawing/2015/06/chart">
            <c:ext xmlns:c16="http://schemas.microsoft.com/office/drawing/2014/chart" uri="{C3380CC4-5D6E-409C-BE32-E72D297353CC}">
              <c16:uniqueId val="{0000000A-8777-43EF-B20E-13A52E4FB8A2}"/>
            </c:ext>
          </c:extLst>
        </c:ser>
        <c:dLbls>
          <c:showLegendKey val="0"/>
          <c:showVal val="0"/>
          <c:showCatName val="0"/>
          <c:showSerName val="0"/>
          <c:showPercent val="0"/>
          <c:showBubbleSize val="0"/>
        </c:dLbls>
        <c:gapWidth val="150"/>
        <c:axId val="313142272"/>
        <c:axId val="313144064"/>
      </c:barChart>
      <c:catAx>
        <c:axId val="31314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3144064"/>
        <c:crosses val="autoZero"/>
        <c:auto val="1"/>
        <c:lblAlgn val="ctr"/>
        <c:lblOffset val="100"/>
        <c:tickLblSkip val="1"/>
        <c:tickMarkSkip val="1"/>
        <c:noMultiLvlLbl val="0"/>
      </c:catAx>
      <c:valAx>
        <c:axId val="313144064"/>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[kg/a]</a:t>
                </a:r>
              </a:p>
            </c:rich>
          </c:tx>
          <c:layout>
            <c:manualLayout>
              <c:xMode val="edge"/>
              <c:yMode val="edge"/>
              <c:x val="1.1375387797311272E-2"/>
              <c:y val="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314227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90"/>
                </a:solidFill>
                <a:latin typeface="Arial"/>
                <a:ea typeface="Arial"/>
                <a:cs typeface="Arial"/>
              </a:defRPr>
            </a:pPr>
            <a:r>
              <a:rPr lang="en-GB"/>
              <a:t>Volumen letne količine energenta</a:t>
            </a:r>
          </a:p>
        </c:rich>
      </c:tx>
      <c:layout>
        <c:manualLayout>
          <c:xMode val="edge"/>
          <c:yMode val="edge"/>
          <c:x val="0.33712512926577043"/>
          <c:y val="2.0338983050847456E-2"/>
        </c:manualLayout>
      </c:layout>
      <c:overlay val="0"/>
      <c:spPr>
        <a:noFill/>
        <a:ln w="25400">
          <a:noFill/>
        </a:ln>
      </c:spPr>
    </c:title>
    <c:autoTitleDeleted val="0"/>
    <c:plotArea>
      <c:layout>
        <c:manualLayout>
          <c:layoutTarget val="inner"/>
          <c:xMode val="edge"/>
          <c:yMode val="edge"/>
          <c:x val="8.4798345398138575E-2"/>
          <c:y val="0.17627118644067796"/>
          <c:w val="0.9027921406411582"/>
          <c:h val="0.72711864406779658"/>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1-E3C2-44E4-97F7-4D31CAD013EB}"/>
              </c:ext>
            </c:extLst>
          </c:dPt>
          <c:dPt>
            <c:idx val="1"/>
            <c:invertIfNegative val="0"/>
            <c:bubble3D val="0"/>
            <c:spPr>
              <a:solidFill>
                <a:srgbClr val="1FB714"/>
              </a:solidFill>
              <a:ln w="12700">
                <a:solidFill>
                  <a:srgbClr val="000000"/>
                </a:solidFill>
                <a:prstDash val="solid"/>
              </a:ln>
            </c:spPr>
            <c:extLst xmlns:c16r2="http://schemas.microsoft.com/office/drawing/2015/06/chart">
              <c:ext xmlns:c16="http://schemas.microsoft.com/office/drawing/2014/chart" uri="{C3380CC4-5D6E-409C-BE32-E72D297353CC}">
                <c16:uniqueId val="{00000003-E3C2-44E4-97F7-4D31CAD013EB}"/>
              </c:ext>
            </c:extLst>
          </c:dPt>
          <c:dPt>
            <c:idx val="2"/>
            <c:invertIfNegative val="0"/>
            <c:bubble3D val="0"/>
            <c:spPr>
              <a:solidFill>
                <a:srgbClr val="99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5-E3C2-44E4-97F7-4D31CAD013EB}"/>
              </c:ext>
            </c:extLst>
          </c:dPt>
          <c:dPt>
            <c:idx val="3"/>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7-E3C2-44E4-97F7-4D31CAD013EB}"/>
              </c:ext>
            </c:extLst>
          </c:dPt>
          <c:dLbls>
            <c:dLbl>
              <c:idx val="1"/>
              <c:spPr>
                <a:noFill/>
                <a:ln w="25400">
                  <a:noFill/>
                </a:ln>
              </c:spPr>
              <c:txPr>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'izračun energentov'!$D$9:$I$9</c:f>
              <c:strCache>
                <c:ptCount val="6"/>
                <c:pt idx="0">
                  <c:v>Obstoječe (ELKO)</c:v>
                </c:pt>
                <c:pt idx="1">
                  <c:v>Polena (bukev)</c:v>
                </c:pt>
                <c:pt idx="2">
                  <c:v>Polena (iglavci)</c:v>
                </c:pt>
                <c:pt idx="3">
                  <c:v>Sekanci</c:v>
                </c:pt>
                <c:pt idx="4">
                  <c:v>Peleti</c:v>
                </c:pt>
                <c:pt idx="5">
                  <c:v>ELKO</c:v>
                </c:pt>
              </c:strCache>
            </c:strRef>
          </c:cat>
          <c:val>
            <c:numRef>
              <c:f>'izračun energentov'!$D$30:$I$30</c:f>
              <c:numCache>
                <c:formatCode>#,##0.000</c:formatCode>
                <c:ptCount val="6"/>
                <c:pt idx="0">
                  <c:v>2.8509803860698164</c:v>
                </c:pt>
                <c:pt idx="1">
                  <c:v>14.998942054946777</c:v>
                </c:pt>
                <c:pt idx="2">
                  <c:v>22.390555521575603</c:v>
                </c:pt>
                <c:pt idx="3">
                  <c:v>33.177117589549631</c:v>
                </c:pt>
                <c:pt idx="4">
                  <c:v>7.0641342391552095</c:v>
                </c:pt>
                <c:pt idx="5">
                  <c:v>2.2174291891654128</c:v>
                </c:pt>
              </c:numCache>
            </c:numRef>
          </c:val>
          <c:extLst xmlns:c16r2="http://schemas.microsoft.com/office/drawing/2015/06/chart">
            <c:ext xmlns:c16="http://schemas.microsoft.com/office/drawing/2014/chart" uri="{C3380CC4-5D6E-409C-BE32-E72D297353CC}">
              <c16:uniqueId val="{00000008-E3C2-44E4-97F7-4D31CAD013EB}"/>
            </c:ext>
          </c:extLst>
        </c:ser>
        <c:dLbls>
          <c:showLegendKey val="0"/>
          <c:showVal val="0"/>
          <c:showCatName val="0"/>
          <c:showSerName val="0"/>
          <c:showPercent val="0"/>
          <c:showBubbleSize val="0"/>
        </c:dLbls>
        <c:gapWidth val="150"/>
        <c:axId val="313316864"/>
        <c:axId val="313318400"/>
      </c:barChart>
      <c:catAx>
        <c:axId val="313316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3318400"/>
        <c:crosses val="autoZero"/>
        <c:auto val="1"/>
        <c:lblAlgn val="ctr"/>
        <c:lblOffset val="100"/>
        <c:tickLblSkip val="1"/>
        <c:tickMarkSkip val="1"/>
        <c:noMultiLvlLbl val="0"/>
      </c:catAx>
      <c:valAx>
        <c:axId val="313318400"/>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[m³/a]</a:t>
                </a:r>
              </a:p>
            </c:rich>
          </c:tx>
          <c:layout>
            <c:manualLayout>
              <c:xMode val="edge"/>
              <c:yMode val="edge"/>
              <c:x val="1.1375387797311272E-2"/>
              <c:y val="0.49661016949152542"/>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331686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90"/>
                </a:solidFill>
                <a:latin typeface="Arial"/>
                <a:ea typeface="Arial"/>
                <a:cs typeface="Arial"/>
              </a:defRPr>
            </a:pPr>
            <a:r>
              <a:rPr lang="en-GB"/>
              <a:t>Ocena letnih emisij CO</a:t>
            </a:r>
            <a:r>
              <a:rPr lang="en-GB" baseline="-25000"/>
              <a:t>²</a:t>
            </a:r>
            <a:r>
              <a:rPr lang="en-GB"/>
              <a:t> </a:t>
            </a:r>
          </a:p>
        </c:rich>
      </c:tx>
      <c:layout>
        <c:manualLayout>
          <c:xMode val="edge"/>
          <c:yMode val="edge"/>
          <c:x val="0.29886246122026888"/>
          <c:y val="2.0338983050847456E-2"/>
        </c:manualLayout>
      </c:layout>
      <c:overlay val="0"/>
      <c:spPr>
        <a:noFill/>
        <a:ln w="25400">
          <a:noFill/>
        </a:ln>
      </c:spPr>
    </c:title>
    <c:autoTitleDeleted val="0"/>
    <c:plotArea>
      <c:layout>
        <c:manualLayout>
          <c:layoutTarget val="inner"/>
          <c:xMode val="edge"/>
          <c:yMode val="edge"/>
          <c:x val="9.2037228541882107E-2"/>
          <c:y val="0.17627118644067796"/>
          <c:w val="0.89348500517063079"/>
          <c:h val="0.61797810744325454"/>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1-F28E-47EB-9A7D-C7C5AA63035F}"/>
              </c:ext>
            </c:extLst>
          </c:dPt>
          <c:dPt>
            <c:idx val="1"/>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3-F28E-47EB-9A7D-C7C5AA63035F}"/>
              </c:ext>
            </c:extLst>
          </c:dPt>
          <c:dPt>
            <c:idx val="2"/>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5-F28E-47EB-9A7D-C7C5AA63035F}"/>
              </c:ext>
            </c:extLst>
          </c:dPt>
          <c:dPt>
            <c:idx val="3"/>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7-F28E-47EB-9A7D-C7C5AA63035F}"/>
              </c:ext>
            </c:extLst>
          </c:dPt>
          <c:dPt>
            <c:idx val="4"/>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F28E-47EB-9A7D-C7C5AA63035F}"/>
              </c:ext>
            </c:extLst>
          </c:dPt>
          <c:dPt>
            <c:idx val="6"/>
            <c:invertIfNegative val="0"/>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B-F28E-47EB-9A7D-C7C5AA63035F}"/>
              </c:ext>
            </c:extLst>
          </c:dPt>
          <c:dLbls>
            <c:dLbl>
              <c:idx val="1"/>
              <c:spPr>
                <a:noFill/>
                <a:ln w="25400">
                  <a:noFill/>
                </a:ln>
              </c:spPr>
              <c:txPr>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'izračun energentov'!$D$9:$N$9</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energentov'!$D$56:$N$56</c:f>
              <c:numCache>
                <c:formatCode>#,##0</c:formatCode>
                <c:ptCount val="11"/>
                <c:pt idx="0">
                  <c:v>7685.7142857142862</c:v>
                </c:pt>
                <c:pt idx="1">
                  <c:v>0</c:v>
                </c:pt>
                <c:pt idx="2">
                  <c:v>0</c:v>
                </c:pt>
                <c:pt idx="3">
                  <c:v>0</c:v>
                </c:pt>
                <c:pt idx="4">
                  <c:v>0</c:v>
                </c:pt>
                <c:pt idx="5">
                  <c:v>5888.8888888888896</c:v>
                </c:pt>
                <c:pt idx="6">
                  <c:v>4387.7551020408164</c:v>
                </c:pt>
                <c:pt idx="7">
                  <c:v>4081.632653061225</c:v>
                </c:pt>
                <c:pt idx="8">
                  <c:v>2789.4736842105267</c:v>
                </c:pt>
                <c:pt idx="9">
                  <c:v>2523.8095238095239</c:v>
                </c:pt>
                <c:pt idx="10">
                  <c:v>2304.347826086957</c:v>
                </c:pt>
              </c:numCache>
            </c:numRef>
          </c:val>
          <c:extLst xmlns:c16r2="http://schemas.microsoft.com/office/drawing/2015/06/chart">
            <c:ext xmlns:c16="http://schemas.microsoft.com/office/drawing/2014/chart" uri="{C3380CC4-5D6E-409C-BE32-E72D297353CC}">
              <c16:uniqueId val="{0000000C-F28E-47EB-9A7D-C7C5AA63035F}"/>
            </c:ext>
          </c:extLst>
        </c:ser>
        <c:dLbls>
          <c:showLegendKey val="0"/>
          <c:showVal val="0"/>
          <c:showCatName val="0"/>
          <c:showSerName val="0"/>
          <c:showPercent val="0"/>
          <c:showBubbleSize val="0"/>
        </c:dLbls>
        <c:gapWidth val="150"/>
        <c:axId val="313243136"/>
        <c:axId val="313244672"/>
      </c:barChart>
      <c:catAx>
        <c:axId val="31324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1">
              <a:defRPr sz="1125" b="0" i="0" u="none" strike="noStrike" baseline="0">
                <a:solidFill>
                  <a:srgbClr val="000000"/>
                </a:solidFill>
                <a:latin typeface="Arial"/>
                <a:ea typeface="Arial"/>
                <a:cs typeface="Arial"/>
              </a:defRPr>
            </a:pPr>
            <a:endParaRPr lang="en-US"/>
          </a:p>
        </c:txPr>
        <c:crossAx val="313244672"/>
        <c:crosses val="autoZero"/>
        <c:auto val="1"/>
        <c:lblAlgn val="ctr"/>
        <c:lblOffset val="100"/>
        <c:tickLblSkip val="1"/>
        <c:tickMarkSkip val="1"/>
        <c:noMultiLvlLbl val="0"/>
      </c:catAx>
      <c:valAx>
        <c:axId val="313244672"/>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[kg CO² / a]</a:t>
                </a:r>
              </a:p>
            </c:rich>
          </c:tx>
          <c:layout>
            <c:manualLayout>
              <c:xMode val="edge"/>
              <c:yMode val="edge"/>
              <c:x val="1.1375387797311272E-2"/>
              <c:y val="0.466101694915254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3243136"/>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75" b="1" i="0" u="none" strike="noStrike" baseline="0">
                <a:solidFill>
                  <a:srgbClr val="000090"/>
                </a:solidFill>
                <a:latin typeface="Arial"/>
                <a:ea typeface="Arial"/>
                <a:cs typeface="Arial"/>
              </a:defRPr>
            </a:pPr>
            <a:r>
              <a:rPr lang="sl-SI"/>
              <a:t>Primarna energija</a:t>
            </a:r>
            <a:endParaRPr lang="en-GB"/>
          </a:p>
        </c:rich>
      </c:tx>
      <c:layout>
        <c:manualLayout>
          <c:xMode val="edge"/>
          <c:yMode val="edge"/>
          <c:x val="0.40112887008526926"/>
          <c:y val="4.3076666917317472E-2"/>
        </c:manualLayout>
      </c:layout>
      <c:overlay val="0"/>
      <c:spPr>
        <a:noFill/>
        <a:ln w="25400">
          <a:noFill/>
        </a:ln>
      </c:spPr>
    </c:title>
    <c:autoTitleDeleted val="0"/>
    <c:plotArea>
      <c:layout>
        <c:manualLayout>
          <c:layoutTarget val="inner"/>
          <c:xMode val="edge"/>
          <c:yMode val="edge"/>
          <c:x val="9.2037228541882107E-2"/>
          <c:y val="0.17627118644067796"/>
          <c:w val="0.89348500517063079"/>
          <c:h val="0.61797810744325454"/>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969696"/>
              </a:solidFill>
              <a:ln w="12700">
                <a:solidFill>
                  <a:srgbClr val="000000"/>
                </a:solidFill>
                <a:prstDash val="solid"/>
              </a:ln>
            </c:spPr>
            <c:extLst xmlns:c16r2="http://schemas.microsoft.com/office/drawing/2015/06/chart">
              <c:ext xmlns:c16="http://schemas.microsoft.com/office/drawing/2014/chart" uri="{C3380CC4-5D6E-409C-BE32-E72D297353CC}">
                <c16:uniqueId val="{00000001-18D6-428D-80C3-0B9A8E681859}"/>
              </c:ext>
            </c:extLst>
          </c:dPt>
          <c:dPt>
            <c:idx val="1"/>
            <c:invertIfNegative val="0"/>
            <c:bubble3D val="0"/>
            <c:spPr>
              <a:solidFill>
                <a:srgbClr val="CCFFCC"/>
              </a:solidFill>
              <a:ln w="12700">
                <a:solidFill>
                  <a:srgbClr val="000000"/>
                </a:solidFill>
                <a:prstDash val="solid"/>
              </a:ln>
            </c:spPr>
            <c:extLst xmlns:c16r2="http://schemas.microsoft.com/office/drawing/2015/06/chart">
              <c:ext xmlns:c16="http://schemas.microsoft.com/office/drawing/2014/chart" uri="{C3380CC4-5D6E-409C-BE32-E72D297353CC}">
                <c16:uniqueId val="{00000003-18D6-428D-80C3-0B9A8E681859}"/>
              </c:ext>
            </c:extLst>
          </c:dPt>
          <c:dPt>
            <c:idx val="2"/>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5-18D6-428D-80C3-0B9A8E681859}"/>
              </c:ext>
            </c:extLst>
          </c:dPt>
          <c:dPt>
            <c:idx val="3"/>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7-18D6-428D-80C3-0B9A8E681859}"/>
              </c:ext>
            </c:extLst>
          </c:dPt>
          <c:dPt>
            <c:idx val="4"/>
            <c:invertIfNegative val="0"/>
            <c:bubble3D val="0"/>
            <c:spPr>
              <a:solidFill>
                <a:srgbClr val="C0C0C0"/>
              </a:solidFill>
              <a:ln w="12700">
                <a:solidFill>
                  <a:srgbClr val="000000"/>
                </a:solidFill>
                <a:prstDash val="solid"/>
              </a:ln>
            </c:spPr>
            <c:extLst xmlns:c16r2="http://schemas.microsoft.com/office/drawing/2015/06/chart">
              <c:ext xmlns:c16="http://schemas.microsoft.com/office/drawing/2014/chart" uri="{C3380CC4-5D6E-409C-BE32-E72D297353CC}">
                <c16:uniqueId val="{00000009-18D6-428D-80C3-0B9A8E681859}"/>
              </c:ext>
            </c:extLst>
          </c:dPt>
          <c:dPt>
            <c:idx val="6"/>
            <c:invertIfNegative val="0"/>
            <c:bubble3D val="0"/>
            <c:spPr>
              <a:solidFill>
                <a:srgbClr val="00CCFF"/>
              </a:solidFill>
              <a:ln w="12700">
                <a:solidFill>
                  <a:srgbClr val="000000"/>
                </a:solidFill>
                <a:prstDash val="solid"/>
              </a:ln>
            </c:spPr>
            <c:extLst xmlns:c16r2="http://schemas.microsoft.com/office/drawing/2015/06/chart">
              <c:ext xmlns:c16="http://schemas.microsoft.com/office/drawing/2014/chart" uri="{C3380CC4-5D6E-409C-BE32-E72D297353CC}">
                <c16:uniqueId val="{0000000B-18D6-428D-80C3-0B9A8E681859}"/>
              </c:ext>
            </c:extLst>
          </c:dPt>
          <c:dLbls>
            <c:dLbl>
              <c:idx val="1"/>
              <c:spPr>
                <a:noFill/>
                <a:ln w="25400">
                  <a:noFill/>
                </a:ln>
              </c:spPr>
              <c:txPr>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112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'izračun energentov'!$D$9:$N$9</c:f>
              <c:strCache>
                <c:ptCount val="11"/>
                <c:pt idx="0">
                  <c:v>Obstoječe (ELKO)</c:v>
                </c:pt>
                <c:pt idx="1">
                  <c:v>Polena (bukev)</c:v>
                </c:pt>
                <c:pt idx="2">
                  <c:v>Polena (iglavci)</c:v>
                </c:pt>
                <c:pt idx="3">
                  <c:v>Sekanci</c:v>
                </c:pt>
                <c:pt idx="4">
                  <c:v>Peleti</c:v>
                </c:pt>
                <c:pt idx="5">
                  <c:v>ELKO</c:v>
                </c:pt>
                <c:pt idx="6">
                  <c:v>UNP</c:v>
                </c:pt>
                <c:pt idx="7">
                  <c:v>ZP</c:v>
                </c:pt>
                <c:pt idx="8">
                  <c:v>TČ zrak/voda</c:v>
                </c:pt>
                <c:pt idx="9">
                  <c:v>TČ zemlja/voda</c:v>
                </c:pt>
                <c:pt idx="10">
                  <c:v>TČ voda/voda</c:v>
                </c:pt>
              </c:strCache>
            </c:strRef>
          </c:cat>
          <c:val>
            <c:numRef>
              <c:f>'izračun energentov'!$D$62:$N$62</c:f>
              <c:numCache>
                <c:formatCode>#,##0</c:formatCode>
                <c:ptCount val="11"/>
                <c:pt idx="0">
                  <c:v>31428.571428571431</c:v>
                </c:pt>
                <c:pt idx="1">
                  <c:v>2197.802197802198</c:v>
                </c:pt>
                <c:pt idx="2">
                  <c:v>2247.1910112359551</c:v>
                </c:pt>
                <c:pt idx="3">
                  <c:v>2222.2222222222222</c:v>
                </c:pt>
                <c:pt idx="4">
                  <c:v>2173.913043478261</c:v>
                </c:pt>
                <c:pt idx="5">
                  <c:v>24444.444444444445</c:v>
                </c:pt>
                <c:pt idx="6">
                  <c:v>22448.979591836738</c:v>
                </c:pt>
                <c:pt idx="7">
                  <c:v>22448.979591836738</c:v>
                </c:pt>
                <c:pt idx="8">
                  <c:v>13157.894736842107</c:v>
                </c:pt>
                <c:pt idx="9">
                  <c:v>11904.761904761905</c:v>
                </c:pt>
                <c:pt idx="10">
                  <c:v>10869.565217391304</c:v>
                </c:pt>
              </c:numCache>
            </c:numRef>
          </c:val>
          <c:extLst xmlns:c16r2="http://schemas.microsoft.com/office/drawing/2015/06/chart">
            <c:ext xmlns:c16="http://schemas.microsoft.com/office/drawing/2014/chart" uri="{C3380CC4-5D6E-409C-BE32-E72D297353CC}">
              <c16:uniqueId val="{0000000C-18D6-428D-80C3-0B9A8E681859}"/>
            </c:ext>
          </c:extLst>
        </c:ser>
        <c:dLbls>
          <c:showLegendKey val="0"/>
          <c:showVal val="0"/>
          <c:showCatName val="0"/>
          <c:showSerName val="0"/>
          <c:showPercent val="0"/>
          <c:showBubbleSize val="0"/>
        </c:dLbls>
        <c:gapWidth val="150"/>
        <c:axId val="312894976"/>
        <c:axId val="312896512"/>
      </c:barChart>
      <c:catAx>
        <c:axId val="31289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1">
              <a:defRPr sz="1125" b="0" i="0" u="none" strike="noStrike" baseline="0">
                <a:solidFill>
                  <a:srgbClr val="000000"/>
                </a:solidFill>
                <a:latin typeface="Arial"/>
                <a:ea typeface="Arial"/>
                <a:cs typeface="Arial"/>
              </a:defRPr>
            </a:pPr>
            <a:endParaRPr lang="en-US"/>
          </a:p>
        </c:txPr>
        <c:crossAx val="312896512"/>
        <c:crosses val="autoZero"/>
        <c:auto val="1"/>
        <c:lblAlgn val="ctr"/>
        <c:lblOffset val="100"/>
        <c:tickLblSkip val="1"/>
        <c:tickMarkSkip val="1"/>
        <c:noMultiLvlLbl val="0"/>
      </c:catAx>
      <c:valAx>
        <c:axId val="312896512"/>
        <c:scaling>
          <c:orientation val="minMax"/>
        </c:scaling>
        <c:delete val="0"/>
        <c:axPos val="l"/>
        <c:majorGridlines>
          <c:spPr>
            <a:ln w="3175">
              <a:solidFill>
                <a:srgbClr val="000000"/>
              </a:solidFill>
              <a:prstDash val="sysDash"/>
            </a:ln>
          </c:spPr>
        </c:majorGridlines>
        <c:title>
          <c:tx>
            <c:rich>
              <a:bodyPr/>
              <a:lstStyle/>
              <a:p>
                <a:pPr>
                  <a:defRPr sz="1125" b="0" i="0" u="none" strike="noStrike" baseline="0">
                    <a:solidFill>
                      <a:srgbClr val="000000"/>
                    </a:solidFill>
                    <a:latin typeface="Arial"/>
                    <a:ea typeface="Arial"/>
                    <a:cs typeface="Arial"/>
                  </a:defRPr>
                </a:pPr>
                <a:r>
                  <a:rPr lang="en-GB"/>
                  <a:t>[</a:t>
                </a:r>
                <a:r>
                  <a:rPr lang="sl-SI"/>
                  <a:t>kWh</a:t>
                </a:r>
                <a:r>
                  <a:rPr lang="en-GB"/>
                  <a:t>/ a]</a:t>
                </a:r>
              </a:p>
            </c:rich>
          </c:tx>
          <c:layout>
            <c:manualLayout>
              <c:xMode val="edge"/>
              <c:yMode val="edge"/>
              <c:x val="1.1375387797311272E-2"/>
              <c:y val="0.466101694915254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rtl="1">
              <a:defRPr sz="1125" b="0" i="0" u="none" strike="noStrike" baseline="0">
                <a:solidFill>
                  <a:srgbClr val="000000"/>
                </a:solidFill>
                <a:latin typeface="Arial"/>
                <a:ea typeface="Arial"/>
                <a:cs typeface="Arial"/>
              </a:defRPr>
            </a:pPr>
            <a:endParaRPr lang="en-US"/>
          </a:p>
        </c:txPr>
        <c:crossAx val="312894976"/>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125"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416961130741"/>
          <c:y val="7.4184083746875823E-2"/>
          <c:w val="0.79858657243816267"/>
          <c:h val="0.78338392436700788"/>
        </c:manualLayout>
      </c:layout>
      <c:areaChart>
        <c:grouping val="stacked"/>
        <c:varyColors val="0"/>
        <c:ser>
          <c:idx val="0"/>
          <c:order val="0"/>
          <c:spPr>
            <a:gradFill rotWithShape="0">
              <a:gsLst>
                <a:gs pos="0">
                  <a:srgbClr val="CCFFCC"/>
                </a:gs>
                <a:gs pos="100000">
                  <a:srgbClr val="A3CCA3"/>
                </a:gs>
              </a:gsLst>
              <a:path path="rect">
                <a:fillToRect r="100000" b="100000"/>
              </a:path>
            </a:gradFill>
            <a:ln w="12700">
              <a:solidFill>
                <a:srgbClr val="000000"/>
              </a:solidFill>
              <a:prstDash val="solid"/>
            </a:ln>
          </c:spPr>
          <c:cat>
            <c:numRef>
              <c:f>ekon.kaz.polena!$E$12:$E$27</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cat>
          <c:val>
            <c:numRef>
              <c:f>ekon.kaz.polena!$G$12:$G$27</c:f>
              <c:numCache>
                <c:formatCode>#,##0</c:formatCode>
                <c:ptCount val="16"/>
                <c:pt idx="0">
                  <c:v>-7650</c:v>
                </c:pt>
                <c:pt idx="1">
                  <c:v>-5853.4870607657867</c:v>
                </c:pt>
                <c:pt idx="2">
                  <c:v>-4056.974121531573</c:v>
                </c:pt>
                <c:pt idx="3">
                  <c:v>-2260.4611822973593</c:v>
                </c:pt>
                <c:pt idx="4">
                  <c:v>-463.94824306314558</c:v>
                </c:pt>
                <c:pt idx="5">
                  <c:v>1332.5646961710681</c:v>
                </c:pt>
                <c:pt idx="6">
                  <c:v>3129.0776354052819</c:v>
                </c:pt>
                <c:pt idx="7">
                  <c:v>4925.5905746394956</c:v>
                </c:pt>
                <c:pt idx="8">
                  <c:v>6722.1035138737097</c:v>
                </c:pt>
                <c:pt idx="9">
                  <c:v>8518.616453107923</c:v>
                </c:pt>
                <c:pt idx="10">
                  <c:v>10315.129392342136</c:v>
                </c:pt>
                <c:pt idx="11">
                  <c:v>12111.64233157635</c:v>
                </c:pt>
                <c:pt idx="12">
                  <c:v>13908.155270810563</c:v>
                </c:pt>
                <c:pt idx="13">
                  <c:v>15704.668210044776</c:v>
                </c:pt>
                <c:pt idx="14">
                  <c:v>17501.181149278989</c:v>
                </c:pt>
                <c:pt idx="15">
                  <c:v>19297.694088513203</c:v>
                </c:pt>
              </c:numCache>
            </c:numRef>
          </c:val>
          <c:extLst xmlns:c16r2="http://schemas.microsoft.com/office/drawing/2015/06/chart">
            <c:ext xmlns:c16="http://schemas.microsoft.com/office/drawing/2014/chart" uri="{C3380CC4-5D6E-409C-BE32-E72D297353CC}">
              <c16:uniqueId val="{00000000-E79D-4DCC-A094-435618A09DF9}"/>
            </c:ext>
          </c:extLst>
        </c:ser>
        <c:dLbls>
          <c:showLegendKey val="0"/>
          <c:showVal val="0"/>
          <c:showCatName val="0"/>
          <c:showSerName val="0"/>
          <c:showPercent val="0"/>
          <c:showBubbleSize val="0"/>
        </c:dLbls>
        <c:axId val="312979456"/>
        <c:axId val="312981376"/>
      </c:areaChart>
      <c:catAx>
        <c:axId val="312979456"/>
        <c:scaling>
          <c:orientation val="minMax"/>
        </c:scaling>
        <c:delete val="0"/>
        <c:axPos val="b"/>
        <c:title>
          <c:tx>
            <c:rich>
              <a:bodyPr/>
              <a:lstStyle/>
              <a:p>
                <a:pPr>
                  <a:defRPr sz="975" b="0" i="0" u="none" strike="noStrike" baseline="0">
                    <a:solidFill>
                      <a:srgbClr val="000000"/>
                    </a:solidFill>
                    <a:latin typeface="Arial"/>
                    <a:ea typeface="Arial"/>
                    <a:cs typeface="Arial"/>
                  </a:defRPr>
                </a:pPr>
                <a:r>
                  <a:rPr lang="en-GB"/>
                  <a:t>Čas [leta]</a:t>
                </a:r>
              </a:p>
            </c:rich>
          </c:tx>
          <c:layout>
            <c:manualLayout>
              <c:xMode val="edge"/>
              <c:yMode val="edge"/>
              <c:x val="0.50883394951975092"/>
              <c:y val="0.887241602218120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2981376"/>
        <c:crosses val="autoZero"/>
        <c:auto val="1"/>
        <c:lblAlgn val="ctr"/>
        <c:lblOffset val="100"/>
        <c:tickMarkSkip val="1"/>
        <c:noMultiLvlLbl val="0"/>
      </c:catAx>
      <c:valAx>
        <c:axId val="312981376"/>
        <c:scaling>
          <c:orientation val="minMax"/>
        </c:scaling>
        <c:delete val="0"/>
        <c:axPos val="l"/>
        <c:majorGridlines>
          <c:spPr>
            <a:ln w="3175">
              <a:solidFill>
                <a:srgbClr val="000000"/>
              </a:solidFill>
              <a:prstDash val="solid"/>
            </a:ln>
          </c:spPr>
        </c:majorGridlines>
        <c:title>
          <c:tx>
            <c:rich>
              <a:bodyPr/>
              <a:lstStyle/>
              <a:p>
                <a:pPr>
                  <a:defRPr sz="975" b="0" i="0" u="none" strike="noStrike" baseline="0">
                    <a:solidFill>
                      <a:srgbClr val="000000"/>
                    </a:solidFill>
                    <a:latin typeface="Arial"/>
                    <a:ea typeface="Arial"/>
                    <a:cs typeface="Arial"/>
                  </a:defRPr>
                </a:pPr>
                <a:r>
                  <a:rPr lang="en-GB"/>
                  <a:t>Denarni tok [€]</a:t>
                </a:r>
              </a:p>
            </c:rich>
          </c:tx>
          <c:layout>
            <c:manualLayout>
              <c:xMode val="edge"/>
              <c:yMode val="edge"/>
              <c:x val="2.8268563203793076E-2"/>
              <c:y val="0.335312195767813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312979456"/>
        <c:crosses val="autoZero"/>
        <c:crossBetween val="midCat"/>
      </c:valAx>
      <c:spPr>
        <a:noFill/>
        <a:ln w="12700">
          <a:solidFill>
            <a:srgbClr val="808080"/>
          </a:solidFill>
          <a:prstDash val="solid"/>
        </a:ln>
      </c:spPr>
    </c:plotArea>
    <c:plotVisOnly val="1"/>
    <c:dispBlanksAs val="zero"/>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 footer="0"/>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 right="0.75" top="1" bottom="1"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26894</xdr:colOff>
      <xdr:row>0</xdr:row>
      <xdr:rowOff>53789</xdr:rowOff>
    </xdr:from>
    <xdr:to>
      <xdr:col>4</xdr:col>
      <xdr:colOff>197223</xdr:colOff>
      <xdr:row>6</xdr:row>
      <xdr:rowOff>104238</xdr:rowOff>
    </xdr:to>
    <xdr:pic>
      <xdr:nvPicPr>
        <xdr:cNvPr id="2" name="Slika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3" y="53789"/>
          <a:ext cx="1999129" cy="107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0</xdr:col>
      <xdr:colOff>144780</xdr:colOff>
      <xdr:row>33</xdr:row>
      <xdr:rowOff>0</xdr:rowOff>
    </xdr:from>
    <xdr:to>
      <xdr:col>7</xdr:col>
      <xdr:colOff>784860</xdr:colOff>
      <xdr:row>52</xdr:row>
      <xdr:rowOff>137160</xdr:rowOff>
    </xdr:to>
    <xdr:graphicFrame macro="">
      <xdr:nvGraphicFramePr>
        <xdr:cNvPr id="2" name="Chart 2">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144780</xdr:colOff>
      <xdr:row>33</xdr:row>
      <xdr:rowOff>0</xdr:rowOff>
    </xdr:from>
    <xdr:to>
      <xdr:col>7</xdr:col>
      <xdr:colOff>784860</xdr:colOff>
      <xdr:row>52</xdr:row>
      <xdr:rowOff>137160</xdr:rowOff>
    </xdr:to>
    <xdr:graphicFrame macro="">
      <xdr:nvGraphicFramePr>
        <xdr:cNvPr id="2" name="Chart 2">
          <a:extLst>
            <a:ext uri="{FF2B5EF4-FFF2-40B4-BE49-F238E27FC236}">
              <a16:creationId xmlns=""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144780</xdr:colOff>
      <xdr:row>33</xdr:row>
      <xdr:rowOff>0</xdr:rowOff>
    </xdr:from>
    <xdr:to>
      <xdr:col>7</xdr:col>
      <xdr:colOff>784860</xdr:colOff>
      <xdr:row>52</xdr:row>
      <xdr:rowOff>137160</xdr:rowOff>
    </xdr:to>
    <xdr:graphicFrame macro="">
      <xdr:nvGraphicFramePr>
        <xdr:cNvPr id="2" name="Chart 2">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32</xdr:row>
      <xdr:rowOff>60960</xdr:rowOff>
    </xdr:from>
    <xdr:to>
      <xdr:col>7</xdr:col>
      <xdr:colOff>967740</xdr:colOff>
      <xdr:row>52</xdr:row>
      <xdr:rowOff>106680</xdr:rowOff>
    </xdr:to>
    <xdr:graphicFrame macro="">
      <xdr:nvGraphicFramePr>
        <xdr:cNvPr id="2" name="Chart 2">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32</xdr:row>
      <xdr:rowOff>60960</xdr:rowOff>
    </xdr:from>
    <xdr:to>
      <xdr:col>7</xdr:col>
      <xdr:colOff>967740</xdr:colOff>
      <xdr:row>52</xdr:row>
      <xdr:rowOff>106680</xdr:rowOff>
    </xdr:to>
    <xdr:graphicFrame macro="">
      <xdr:nvGraphicFramePr>
        <xdr:cNvPr id="2" name="Chart 2">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xdr:colOff>
      <xdr:row>33</xdr:row>
      <xdr:rowOff>106680</xdr:rowOff>
    </xdr:from>
    <xdr:to>
      <xdr:col>7</xdr:col>
      <xdr:colOff>1120140</xdr:colOff>
      <xdr:row>52</xdr:row>
      <xdr:rowOff>99060</xdr:rowOff>
    </xdr:to>
    <xdr:graphicFrame macro="">
      <xdr:nvGraphicFramePr>
        <xdr:cNvPr id="2" name="Chart 2">
          <a:extLst>
            <a:ext uri="{FF2B5EF4-FFF2-40B4-BE49-F238E27FC236}">
              <a16:creationId xmlns=""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xdr:colOff>
      <xdr:row>33</xdr:row>
      <xdr:rowOff>106680</xdr:rowOff>
    </xdr:from>
    <xdr:to>
      <xdr:col>7</xdr:col>
      <xdr:colOff>1120140</xdr:colOff>
      <xdr:row>52</xdr:row>
      <xdr:rowOff>99060</xdr:rowOff>
    </xdr:to>
    <xdr:graphicFrame macro="">
      <xdr:nvGraphicFramePr>
        <xdr:cNvPr id="2" name="Chart 2">
          <a:extLst>
            <a:ext uri="{FF2B5EF4-FFF2-40B4-BE49-F238E27FC236}">
              <a16:creationId xmlns=""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xdr:colOff>
      <xdr:row>33</xdr:row>
      <xdr:rowOff>106680</xdr:rowOff>
    </xdr:from>
    <xdr:to>
      <xdr:col>7</xdr:col>
      <xdr:colOff>1120140</xdr:colOff>
      <xdr:row>52</xdr:row>
      <xdr:rowOff>99060</xdr:rowOff>
    </xdr:to>
    <xdr:graphicFrame macro="">
      <xdr:nvGraphicFramePr>
        <xdr:cNvPr id="2" name="Chart 2">
          <a:extLst>
            <a:ext uri="{FF2B5EF4-FFF2-40B4-BE49-F238E27FC236}">
              <a16:creationId xmlns=""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14</xdr:row>
          <xdr:rowOff>38100</xdr:rowOff>
        </xdr:from>
        <xdr:to>
          <xdr:col>1</xdr:col>
          <xdr:colOff>876300</xdr:colOff>
          <xdr:row>16</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38100</xdr:rowOff>
        </xdr:from>
        <xdr:to>
          <xdr:col>1</xdr:col>
          <xdr:colOff>876300</xdr:colOff>
          <xdr:row>16</xdr:row>
          <xdr:rowOff>152400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0</xdr:col>
      <xdr:colOff>7620</xdr:colOff>
      <xdr:row>33</xdr:row>
      <xdr:rowOff>106680</xdr:rowOff>
    </xdr:from>
    <xdr:to>
      <xdr:col>7</xdr:col>
      <xdr:colOff>1120140</xdr:colOff>
      <xdr:row>52</xdr:row>
      <xdr:rowOff>99060</xdr:rowOff>
    </xdr:to>
    <xdr:graphicFrame macro="">
      <xdr:nvGraphicFramePr>
        <xdr:cNvPr id="2" name="Chart 2">
          <a:extLst>
            <a:ext uri="{FF2B5EF4-FFF2-40B4-BE49-F238E27FC236}">
              <a16:creationId xmlns=""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7620</xdr:colOff>
      <xdr:row>33</xdr:row>
      <xdr:rowOff>106680</xdr:rowOff>
    </xdr:from>
    <xdr:to>
      <xdr:col>7</xdr:col>
      <xdr:colOff>1120140</xdr:colOff>
      <xdr:row>52</xdr:row>
      <xdr:rowOff>99060</xdr:rowOff>
    </xdr:to>
    <xdr:graphicFrame macro="">
      <xdr:nvGraphicFramePr>
        <xdr:cNvPr id="2" name="Chart 2">
          <a:extLst>
            <a:ext uri="{FF2B5EF4-FFF2-40B4-BE49-F238E27FC236}">
              <a16:creationId xmlns=""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38100</xdr:colOff>
      <xdr:row>15</xdr:row>
      <xdr:rowOff>7620</xdr:rowOff>
    </xdr:from>
    <xdr:to>
      <xdr:col>10</xdr:col>
      <xdr:colOff>205740</xdr:colOff>
      <xdr:row>37</xdr:row>
      <xdr:rowOff>7620</xdr:rowOff>
    </xdr:to>
    <xdr:graphicFrame macro="">
      <xdr:nvGraphicFramePr>
        <xdr:cNvPr id="2" name="Grafikon 6">
          <a:extLst>
            <a:ext uri="{FF2B5EF4-FFF2-40B4-BE49-F238E27FC236}">
              <a16:creationId xmlns=""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0.77</cdr:x>
      <cdr:y>0</cdr:y>
    </cdr:from>
    <cdr:to>
      <cdr:x>0.79075</cdr:x>
      <cdr:y>0</cdr:y>
    </cdr:to>
    <cdr:pic>
      <cdr:nvPicPr>
        <cdr:cNvPr id="3" name="Picture 2">
          <a:extLst xmlns:a="http://schemas.openxmlformats.org/drawingml/2006/main">
            <a:ext uri="{FF2B5EF4-FFF2-40B4-BE49-F238E27FC236}">
              <a16:creationId xmlns="" xmlns:a16="http://schemas.microsoft.com/office/drawing/2014/main" id="{EC3E91CD-1B9A-425C-B783-B4892EFF74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96100" y="139700"/>
          <a:ext cx="2120900" cy="653811"/>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1886" cy="6045200"/>
    <xdr:graphicFrame macro="">
      <xdr:nvGraphicFramePr>
        <xdr:cNvPr id="2" name="Grafikon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189720" cy="5585460"/>
    <xdr:graphicFrame macro="">
      <xdr:nvGraphicFramePr>
        <xdr:cNvPr id="2" name="Grafikon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jko/Documents/Dokumenti%20Rajko/ZIC%20Vrtojba/V3%20Ekonomska%20analiza%20VDI%202067%20Kogoj%20Bilj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zracun%20po%20VDI2067%20STANOVANJSKA%20HI&#352;A_sta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tran"/>
      <sheetName val="navodila"/>
      <sheetName val="vhodni podatki"/>
      <sheetName val="stroški investicije"/>
      <sheetName val="izračun energentov"/>
      <sheetName val="rezultati"/>
      <sheetName val="str. ogrev. na leto"/>
      <sheetName val="str. ogrev. na MWh"/>
      <sheetName val="stoški en. na MWh"/>
      <sheetName val="masa en."/>
      <sheetName val="volumen en."/>
      <sheetName val="CO²"/>
      <sheetName val="podatki analize"/>
    </sheetNames>
    <sheetDataSet>
      <sheetData sheetId="0" refreshError="1"/>
      <sheetData sheetId="1" refreshError="1"/>
      <sheetData sheetId="2">
        <row r="14">
          <cell r="D14">
            <v>7.0000000000000007E-2</v>
          </cell>
        </row>
      </sheetData>
      <sheetData sheetId="3" refreshError="1"/>
      <sheetData sheetId="4">
        <row r="7">
          <cell r="E7">
            <v>1070</v>
          </cell>
        </row>
      </sheetData>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tran"/>
      <sheetName val="navodila"/>
      <sheetName val="vhodni podatki"/>
      <sheetName val="stroški investicije"/>
      <sheetName val="rezultati"/>
      <sheetName val="izračun energentov"/>
      <sheetName val="str. ogrev. na leto"/>
      <sheetName val="str. ogrev. na MWh"/>
      <sheetName val="stoški en. na MWh"/>
      <sheetName val="masa en."/>
      <sheetName val="volumen en."/>
      <sheetName val="CO²"/>
      <sheetName val="primarna en."/>
      <sheetName val="podatki analize"/>
      <sheetName val="ekon.kaz.polena"/>
      <sheetName val="ekon.kaz.polena (2)"/>
      <sheetName val="ekon.kaz.sekanci"/>
      <sheetName val="ekon.kaz.peleti"/>
      <sheetName val="ekon.kaz.ELKO"/>
      <sheetName val="ekon.kaz.UNP"/>
      <sheetName val="ekon.kaz.ZP"/>
      <sheetName val="ekon.kaz.TČ"/>
      <sheetName val="ekonomska primerjava"/>
    </sheetNames>
    <sheetDataSet>
      <sheetData sheetId="0"/>
      <sheetData sheetId="1"/>
      <sheetData sheetId="2"/>
      <sheetData sheetId="3"/>
      <sheetData sheetId="4"/>
      <sheetData sheetId="5">
        <row r="7">
          <cell r="E7">
            <v>1000</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2.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2.arnes.si/~mlicen3/html/cene_energentov.html" TargetMode="External"/><Relationship Id="rId1" Type="http://schemas.openxmlformats.org/officeDocument/2006/relationships/hyperlink" Target="http://www.mg.gov.si/si/delovna_podrocja/notranji_trg/sektor_za_preskrbo_nadzor_cen_in_trgovino/" TargetMode="External"/><Relationship Id="rId6" Type="http://schemas.openxmlformats.org/officeDocument/2006/relationships/comments" Target="../comments1.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view="pageBreakPreview" zoomScale="55" zoomScaleNormal="100" zoomScaleSheetLayoutView="55" workbookViewId="0">
      <selection activeCell="J14" sqref="J14"/>
    </sheetView>
  </sheetViews>
  <sheetFormatPr defaultRowHeight="12.75" x14ac:dyDescent="0.2"/>
  <cols>
    <col min="1" max="1" width="2.42578125" customWidth="1"/>
  </cols>
  <sheetData>
    <row r="8" spans="1:10" x14ac:dyDescent="0.2">
      <c r="A8" s="21"/>
      <c r="B8" t="s">
        <v>362</v>
      </c>
      <c r="C8" s="21"/>
      <c r="D8" s="21"/>
      <c r="E8" s="21"/>
      <c r="F8" s="21"/>
      <c r="G8" s="21"/>
      <c r="H8" s="21"/>
      <c r="I8" s="21"/>
      <c r="J8" s="21"/>
    </row>
    <row r="9" spans="1:10" x14ac:dyDescent="0.2">
      <c r="A9" s="21"/>
      <c r="B9" s="21"/>
      <c r="C9" s="21"/>
      <c r="D9" s="21"/>
      <c r="E9" s="21"/>
      <c r="F9" s="21"/>
      <c r="G9" s="21"/>
      <c r="H9" s="21"/>
      <c r="I9" s="21"/>
      <c r="J9" s="21"/>
    </row>
    <row r="10" spans="1:10" ht="15.75" x14ac:dyDescent="0.25">
      <c r="B10" s="683" t="s">
        <v>290</v>
      </c>
      <c r="C10" s="683"/>
      <c r="D10" s="684" t="s">
        <v>291</v>
      </c>
      <c r="E10" s="683"/>
      <c r="F10" s="685"/>
      <c r="G10" s="685"/>
      <c r="H10" s="21"/>
    </row>
    <row r="11" spans="1:10" ht="15" x14ac:dyDescent="0.2">
      <c r="B11" s="683"/>
      <c r="C11" s="683"/>
      <c r="D11" s="683" t="s">
        <v>292</v>
      </c>
      <c r="E11" s="683"/>
      <c r="F11" s="685"/>
      <c r="G11" s="685"/>
      <c r="H11" s="21"/>
    </row>
    <row r="12" spans="1:10" ht="15" x14ac:dyDescent="0.2">
      <c r="B12" s="683"/>
      <c r="C12" s="683"/>
      <c r="D12" s="683" t="s">
        <v>293</v>
      </c>
      <c r="E12" s="683"/>
      <c r="F12" s="685"/>
      <c r="G12" s="685"/>
      <c r="H12" s="21"/>
    </row>
    <row r="13" spans="1:10" ht="15" x14ac:dyDescent="0.2">
      <c r="B13" s="685"/>
      <c r="C13" s="685"/>
      <c r="D13" s="685"/>
      <c r="E13" s="685"/>
      <c r="F13" s="685"/>
      <c r="G13" s="685"/>
      <c r="H13" s="21"/>
    </row>
    <row r="14" spans="1:10" ht="15.75" x14ac:dyDescent="0.25">
      <c r="B14" s="683" t="s">
        <v>294</v>
      </c>
      <c r="C14" s="683"/>
      <c r="D14" s="684" t="s">
        <v>295</v>
      </c>
      <c r="E14" s="683"/>
      <c r="F14" s="683"/>
      <c r="G14" s="683"/>
    </row>
    <row r="15" spans="1:10" ht="15.75" x14ac:dyDescent="0.25">
      <c r="B15" s="683"/>
      <c r="C15" s="683"/>
      <c r="D15" s="686"/>
      <c r="E15" s="683"/>
      <c r="F15" s="683"/>
      <c r="G15" s="683"/>
    </row>
    <row r="16" spans="1:10" ht="15" x14ac:dyDescent="0.2">
      <c r="B16" s="683" t="s">
        <v>296</v>
      </c>
      <c r="C16" s="683"/>
      <c r="D16" s="683" t="s">
        <v>297</v>
      </c>
      <c r="E16" s="683"/>
      <c r="F16" s="683"/>
      <c r="G16" s="683"/>
    </row>
    <row r="17" spans="1:10" ht="15" x14ac:dyDescent="0.2">
      <c r="B17" s="683"/>
      <c r="C17" s="683"/>
      <c r="D17" s="687" t="s">
        <v>292</v>
      </c>
      <c r="E17" s="683"/>
      <c r="F17" s="683"/>
      <c r="G17" s="683"/>
    </row>
    <row r="18" spans="1:10" ht="15" x14ac:dyDescent="0.2">
      <c r="B18" s="683"/>
      <c r="C18" s="683"/>
      <c r="D18" s="687" t="s">
        <v>293</v>
      </c>
      <c r="E18" s="683"/>
      <c r="F18" s="683"/>
      <c r="G18" s="683"/>
    </row>
    <row r="19" spans="1:10" ht="15" x14ac:dyDescent="0.2">
      <c r="B19" s="683"/>
      <c r="C19" s="683"/>
      <c r="D19" s="683"/>
      <c r="E19" s="683"/>
      <c r="F19" s="683"/>
      <c r="G19" s="683"/>
    </row>
    <row r="20" spans="1:10" ht="15" x14ac:dyDescent="0.2">
      <c r="B20" s="683"/>
      <c r="C20" s="688"/>
      <c r="D20" s="683"/>
      <c r="E20" s="683"/>
      <c r="F20" s="683"/>
      <c r="G20" s="683"/>
    </row>
    <row r="21" spans="1:10" ht="15" x14ac:dyDescent="0.2">
      <c r="B21" s="683"/>
      <c r="C21" s="683"/>
      <c r="D21" s="687"/>
      <c r="E21" s="683"/>
      <c r="F21" s="683"/>
      <c r="G21" s="683"/>
    </row>
    <row r="22" spans="1:10" ht="15" x14ac:dyDescent="0.2">
      <c r="B22" s="683"/>
      <c r="C22" s="683"/>
      <c r="D22" s="689"/>
      <c r="E22" s="683"/>
      <c r="F22" s="683"/>
      <c r="G22" s="683"/>
    </row>
    <row r="23" spans="1:10" ht="15" x14ac:dyDescent="0.2">
      <c r="B23" s="683"/>
      <c r="C23" s="683"/>
      <c r="D23" s="690"/>
      <c r="E23" s="691"/>
      <c r="F23" s="690"/>
      <c r="G23" s="683"/>
    </row>
    <row r="24" spans="1:10" x14ac:dyDescent="0.2">
      <c r="D24" s="692"/>
      <c r="F24" s="692"/>
    </row>
    <row r="25" spans="1:10" x14ac:dyDescent="0.2">
      <c r="D25" s="693"/>
      <c r="F25" s="693"/>
    </row>
    <row r="26" spans="1:10" x14ac:dyDescent="0.2">
      <c r="D26" s="693"/>
      <c r="F26" s="693"/>
    </row>
    <row r="28" spans="1:10" ht="26.25" x14ac:dyDescent="0.4">
      <c r="A28" s="791" t="s">
        <v>298</v>
      </c>
      <c r="B28" s="791"/>
      <c r="C28" s="791"/>
      <c r="D28" s="791"/>
      <c r="E28" s="791"/>
      <c r="F28" s="791"/>
      <c r="G28" s="791"/>
      <c r="H28" s="791"/>
      <c r="I28" s="791"/>
      <c r="J28" s="791"/>
    </row>
    <row r="29" spans="1:10" ht="18" customHeight="1" x14ac:dyDescent="0.35">
      <c r="A29" s="694"/>
      <c r="B29" s="694"/>
      <c r="C29" s="694"/>
      <c r="D29" s="694"/>
      <c r="E29" s="694"/>
      <c r="F29" s="694"/>
      <c r="G29" s="694"/>
      <c r="H29" s="694"/>
      <c r="I29" s="694"/>
      <c r="J29" s="694"/>
    </row>
    <row r="30" spans="1:10" ht="7.9" customHeight="1" x14ac:dyDescent="0.2">
      <c r="A30" s="791" t="s">
        <v>299</v>
      </c>
      <c r="B30" s="791"/>
      <c r="C30" s="791"/>
      <c r="D30" s="791"/>
      <c r="E30" s="791"/>
      <c r="F30" s="791"/>
      <c r="G30" s="791"/>
      <c r="H30" s="791"/>
      <c r="I30" s="791"/>
      <c r="J30" s="791"/>
    </row>
    <row r="31" spans="1:10" ht="30" customHeight="1" x14ac:dyDescent="0.2">
      <c r="A31" s="791"/>
      <c r="B31" s="791"/>
      <c r="C31" s="791"/>
      <c r="D31" s="791"/>
      <c r="E31" s="791"/>
      <c r="F31" s="791"/>
      <c r="G31" s="791"/>
      <c r="H31" s="791"/>
      <c r="I31" s="791"/>
      <c r="J31" s="791"/>
    </row>
    <row r="32" spans="1:10" ht="25.5" x14ac:dyDescent="0.35">
      <c r="A32" s="694"/>
      <c r="B32" s="694"/>
      <c r="C32" s="694"/>
      <c r="D32" s="694"/>
      <c r="E32" s="694"/>
      <c r="F32" s="694"/>
      <c r="G32" s="694"/>
      <c r="H32" s="694"/>
      <c r="I32" s="694"/>
      <c r="J32" s="694"/>
    </row>
    <row r="33" spans="1:11" ht="26.25" x14ac:dyDescent="0.4">
      <c r="A33" s="791" t="s">
        <v>300</v>
      </c>
      <c r="B33" s="791"/>
      <c r="C33" s="791"/>
      <c r="D33" s="791"/>
      <c r="E33" s="791"/>
      <c r="F33" s="791"/>
      <c r="G33" s="791"/>
      <c r="H33" s="791"/>
      <c r="I33" s="791"/>
      <c r="J33" s="791"/>
    </row>
    <row r="34" spans="1:11" ht="25.5" x14ac:dyDescent="0.35">
      <c r="A34" s="694"/>
      <c r="B34" s="694"/>
      <c r="C34" s="694"/>
      <c r="D34" s="694"/>
      <c r="E34" s="694"/>
      <c r="F34" s="694"/>
      <c r="G34" s="694"/>
      <c r="H34" s="694"/>
      <c r="I34" s="694"/>
      <c r="J34" s="694"/>
    </row>
    <row r="35" spans="1:11" ht="26.25" x14ac:dyDescent="0.4">
      <c r="A35" s="791" t="s">
        <v>301</v>
      </c>
      <c r="B35" s="791" t="s">
        <v>302</v>
      </c>
      <c r="C35" s="791"/>
      <c r="D35" s="791"/>
      <c r="E35" s="791"/>
      <c r="F35" s="791"/>
      <c r="G35" s="791"/>
      <c r="H35" s="791"/>
      <c r="I35" s="791"/>
      <c r="J35" s="791"/>
    </row>
    <row r="37" spans="1:11" ht="30" x14ac:dyDescent="0.4">
      <c r="B37" s="695"/>
      <c r="C37" s="695"/>
      <c r="D37" s="695"/>
      <c r="E37" s="695"/>
      <c r="F37" s="695"/>
      <c r="G37" s="695"/>
      <c r="H37" s="695"/>
      <c r="I37" s="695"/>
      <c r="J37" s="695"/>
    </row>
    <row r="38" spans="1:11" ht="15" x14ac:dyDescent="0.2">
      <c r="B38" s="790" t="s">
        <v>303</v>
      </c>
      <c r="C38" s="790"/>
      <c r="D38" s="790"/>
      <c r="E38" s="790"/>
      <c r="F38" s="790"/>
      <c r="G38" s="790"/>
      <c r="H38" s="790"/>
      <c r="I38" s="790"/>
      <c r="J38" s="790"/>
      <c r="K38" s="790"/>
    </row>
    <row r="39" spans="1:11" ht="15" x14ac:dyDescent="0.2">
      <c r="B39" s="790" t="s">
        <v>304</v>
      </c>
      <c r="C39" s="790"/>
      <c r="D39" s="790"/>
      <c r="E39" s="790"/>
      <c r="F39" s="790"/>
      <c r="G39" s="790"/>
      <c r="H39" s="790"/>
      <c r="I39" s="790"/>
      <c r="J39" s="790"/>
      <c r="K39" s="790"/>
    </row>
    <row r="40" spans="1:11" ht="15" x14ac:dyDescent="0.2">
      <c r="B40" s="683"/>
      <c r="C40" s="683"/>
      <c r="D40" s="683"/>
      <c r="E40" s="683"/>
      <c r="F40" s="683"/>
      <c r="G40" s="683"/>
      <c r="H40" s="683"/>
      <c r="I40" s="683"/>
      <c r="J40" s="683"/>
      <c r="K40" s="683"/>
    </row>
    <row r="41" spans="1:11" ht="15" x14ac:dyDescent="0.2">
      <c r="B41" s="790" t="s">
        <v>305</v>
      </c>
      <c r="C41" s="790"/>
      <c r="D41" s="790"/>
      <c r="E41" s="790"/>
      <c r="F41" s="790"/>
      <c r="G41" s="790"/>
      <c r="H41" s="790"/>
      <c r="I41" s="790"/>
      <c r="J41" s="790"/>
      <c r="K41" s="790"/>
    </row>
    <row r="42" spans="1:11" ht="15" x14ac:dyDescent="0.2">
      <c r="A42" s="792"/>
      <c r="B42" s="792"/>
      <c r="C42" s="792"/>
      <c r="D42" s="792"/>
      <c r="E42" s="792"/>
      <c r="F42" s="792"/>
      <c r="G42" s="792"/>
      <c r="H42" s="792"/>
      <c r="I42" s="792"/>
      <c r="J42" s="792"/>
    </row>
    <row r="43" spans="1:11" ht="15" x14ac:dyDescent="0.2">
      <c r="A43" s="792"/>
      <c r="B43" s="792"/>
      <c r="C43" s="792"/>
      <c r="D43" s="792"/>
      <c r="E43" s="792"/>
      <c r="F43" s="792"/>
      <c r="G43" s="792"/>
      <c r="H43" s="792"/>
      <c r="I43" s="792"/>
      <c r="J43" s="792"/>
    </row>
    <row r="44" spans="1:11" ht="15" x14ac:dyDescent="0.2">
      <c r="B44" s="696"/>
    </row>
    <row r="45" spans="1:11" ht="15" x14ac:dyDescent="0.2">
      <c r="A45" s="792"/>
      <c r="B45" s="792"/>
      <c r="C45" s="792"/>
      <c r="D45" s="792"/>
      <c r="E45" s="792"/>
      <c r="F45" s="792"/>
      <c r="G45" s="792"/>
      <c r="H45" s="792"/>
      <c r="I45" s="792"/>
      <c r="J45" s="792"/>
    </row>
    <row r="46" spans="1:11" ht="15" customHeight="1" x14ac:dyDescent="0.2">
      <c r="A46" s="793"/>
      <c r="B46" s="793"/>
      <c r="C46" s="793"/>
      <c r="D46" s="793"/>
      <c r="E46" s="793"/>
      <c r="F46" s="793"/>
      <c r="G46" s="793"/>
      <c r="H46" s="793"/>
      <c r="I46" s="793"/>
      <c r="J46" s="793"/>
    </row>
    <row r="47" spans="1:11" ht="15" x14ac:dyDescent="0.2">
      <c r="A47" s="21"/>
      <c r="B47" s="697"/>
      <c r="C47" s="21"/>
      <c r="D47" s="21"/>
      <c r="E47" s="21"/>
      <c r="F47" s="21"/>
      <c r="G47" s="21"/>
      <c r="H47" s="21"/>
      <c r="I47" s="21"/>
      <c r="J47" s="21"/>
    </row>
    <row r="48" spans="1:11" ht="15" x14ac:dyDescent="0.2">
      <c r="B48" s="683" t="s">
        <v>306</v>
      </c>
      <c r="C48" s="683"/>
      <c r="E48" s="683"/>
      <c r="F48" s="683"/>
      <c r="G48" s="683"/>
      <c r="H48" s="683"/>
      <c r="I48" s="683"/>
    </row>
    <row r="49" spans="2:9" ht="15" x14ac:dyDescent="0.2">
      <c r="B49" s="683"/>
      <c r="C49" s="683"/>
      <c r="D49" s="683"/>
      <c r="E49" s="683"/>
      <c r="F49" s="683"/>
      <c r="G49" s="683"/>
      <c r="H49" s="683"/>
      <c r="I49" s="683"/>
    </row>
    <row r="50" spans="2:9" ht="15" x14ac:dyDescent="0.2">
      <c r="B50" s="685" t="s">
        <v>307</v>
      </c>
      <c r="C50" s="685"/>
      <c r="D50" s="685"/>
      <c r="E50" s="685"/>
      <c r="F50" s="685"/>
      <c r="G50" s="685"/>
      <c r="H50" s="685"/>
      <c r="I50" s="685"/>
    </row>
    <row r="51" spans="2:9" ht="20.25" x14ac:dyDescent="0.3">
      <c r="B51" s="698"/>
      <c r="E51" s="683"/>
    </row>
    <row r="52" spans="2:9" ht="15" x14ac:dyDescent="0.2">
      <c r="E52" s="683"/>
    </row>
    <row r="53" spans="2:9" ht="15" x14ac:dyDescent="0.2">
      <c r="E53" s="683"/>
    </row>
    <row r="55" spans="2:9" ht="15" x14ac:dyDescent="0.2">
      <c r="B55" s="685" t="s">
        <v>308</v>
      </c>
      <c r="E55" s="683"/>
    </row>
  </sheetData>
  <mergeCells count="11">
    <mergeCell ref="B41:K41"/>
    <mergeCell ref="A42:J42"/>
    <mergeCell ref="A43:J43"/>
    <mergeCell ref="A45:J45"/>
    <mergeCell ref="A46:J46"/>
    <mergeCell ref="B39:K39"/>
    <mergeCell ref="A28:J28"/>
    <mergeCell ref="A30:J31"/>
    <mergeCell ref="A33:J33"/>
    <mergeCell ref="A35:J35"/>
    <mergeCell ref="B38:K38"/>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view="pageBreakPreview" zoomScale="85" zoomScaleNormal="100" zoomScaleSheetLayoutView="85" workbookViewId="0">
      <selection activeCell="L21" sqref="L21"/>
    </sheetView>
  </sheetViews>
  <sheetFormatPr defaultRowHeight="12.75" x14ac:dyDescent="0.2"/>
  <cols>
    <col min="1" max="1" width="12.42578125" customWidth="1"/>
    <col min="3" max="3" width="10.42578125" customWidth="1"/>
    <col min="6" max="6" width="12.140625" customWidth="1"/>
    <col min="8" max="8" width="15" customWidth="1"/>
    <col min="9" max="9" width="12" customWidth="1"/>
  </cols>
  <sheetData>
    <row r="2" spans="1:12" x14ac:dyDescent="0.2">
      <c r="A2" s="802" t="s">
        <v>255</v>
      </c>
      <c r="B2" s="802"/>
      <c r="C2" s="802"/>
      <c r="D2" s="802"/>
      <c r="E2" s="802"/>
      <c r="F2" s="802"/>
      <c r="G2" s="802"/>
    </row>
    <row r="3" spans="1:12" x14ac:dyDescent="0.2">
      <c r="A3" s="636"/>
      <c r="B3" s="637"/>
      <c r="C3" s="637"/>
      <c r="D3" s="637"/>
      <c r="E3" s="637"/>
      <c r="F3" s="637"/>
      <c r="G3" s="637"/>
    </row>
    <row r="4" spans="1:12" x14ac:dyDescent="0.2">
      <c r="A4" s="802" t="s">
        <v>268</v>
      </c>
      <c r="B4" s="802"/>
      <c r="C4" s="802"/>
      <c r="D4" s="802"/>
      <c r="E4" s="802"/>
      <c r="F4" s="802"/>
      <c r="G4" s="637"/>
    </row>
    <row r="5" spans="1:12" x14ac:dyDescent="0.2">
      <c r="A5" s="3"/>
    </row>
    <row r="6" spans="1:12" x14ac:dyDescent="0.2">
      <c r="A6" s="803" t="s">
        <v>257</v>
      </c>
      <c r="B6" s="803"/>
      <c r="D6" s="638">
        <f>'podatki analize'!E27/'podatki analize'!E33</f>
        <v>10.748163176570731</v>
      </c>
      <c r="E6" s="38" t="s">
        <v>258</v>
      </c>
      <c r="F6" s="3"/>
      <c r="G6" s="3"/>
      <c r="H6" s="3"/>
      <c r="I6" s="3"/>
      <c r="J6" s="3"/>
      <c r="K6" s="3"/>
      <c r="L6" s="3"/>
    </row>
    <row r="7" spans="1:12" x14ac:dyDescent="0.2">
      <c r="A7" s="801" t="s">
        <v>259</v>
      </c>
      <c r="B7" s="801"/>
      <c r="D7" s="639">
        <f>NPV('podatki analize'!E35,B13:B27)-B12</f>
        <v>28930.93497202533</v>
      </c>
      <c r="E7" s="38" t="s">
        <v>260</v>
      </c>
    </row>
    <row r="8" spans="1:12" x14ac:dyDescent="0.2">
      <c r="A8" s="801" t="s">
        <v>261</v>
      </c>
      <c r="B8" s="801"/>
      <c r="C8" s="3"/>
      <c r="D8" s="639">
        <f>NPV('podatki analize'!E35,F13:F27)+F12</f>
        <v>661.35074344282839</v>
      </c>
      <c r="E8" s="38" t="s">
        <v>260</v>
      </c>
    </row>
    <row r="9" spans="1:12" x14ac:dyDescent="0.2">
      <c r="A9" s="801" t="s">
        <v>262</v>
      </c>
      <c r="B9" s="801"/>
      <c r="D9" s="640">
        <f>IRR(F12:F27,0.01)</f>
        <v>4.4883355169773598E-2</v>
      </c>
      <c r="E9" s="38"/>
    </row>
    <row r="10" spans="1:12" x14ac:dyDescent="0.2">
      <c r="A10" s="2"/>
      <c r="B10" s="2"/>
      <c r="C10" s="2"/>
      <c r="D10" s="2"/>
      <c r="E10" s="2"/>
      <c r="F10" s="2"/>
      <c r="G10" s="2"/>
      <c r="H10" s="2"/>
    </row>
    <row r="11" spans="1:12" ht="52.5" customHeight="1" x14ac:dyDescent="0.2">
      <c r="A11" s="641" t="s">
        <v>263</v>
      </c>
      <c r="B11" s="642" t="s">
        <v>264</v>
      </c>
      <c r="C11" s="641" t="s">
        <v>265</v>
      </c>
      <c r="D11" s="643"/>
      <c r="E11" s="641" t="s">
        <v>263</v>
      </c>
      <c r="F11" s="642" t="s">
        <v>264</v>
      </c>
      <c r="G11" s="641" t="s">
        <v>266</v>
      </c>
      <c r="H11" s="644" t="s">
        <v>267</v>
      </c>
    </row>
    <row r="12" spans="1:12" x14ac:dyDescent="0.2">
      <c r="A12" s="75">
        <v>0</v>
      </c>
      <c r="B12" s="645">
        <f>-'podatki analize'!E27</f>
        <v>-19200</v>
      </c>
      <c r="C12" s="645">
        <f>'podatki analize'!E32</f>
        <v>875.21099902234357</v>
      </c>
      <c r="D12" s="75"/>
      <c r="E12" s="75">
        <v>0</v>
      </c>
      <c r="F12" s="645">
        <f>B12</f>
        <v>-19200</v>
      </c>
      <c r="G12" s="645">
        <f>F12</f>
        <v>-19200</v>
      </c>
      <c r="H12" s="645">
        <f>'podatki analize'!E33</f>
        <v>1786.3517407190948</v>
      </c>
      <c r="J12" s="646"/>
      <c r="K12" s="646"/>
    </row>
    <row r="13" spans="1:12" x14ac:dyDescent="0.2">
      <c r="A13" s="39">
        <v>1</v>
      </c>
      <c r="B13" s="647">
        <f>C12</f>
        <v>875.21099902234357</v>
      </c>
      <c r="C13" s="39"/>
      <c r="D13" s="39"/>
      <c r="E13" s="39">
        <v>1</v>
      </c>
      <c r="F13" s="647">
        <f>H12</f>
        <v>1786.3517407190948</v>
      </c>
      <c r="G13" s="647">
        <f t="shared" ref="G13:G27" si="0">G12+F13</f>
        <v>-17413.648259280904</v>
      </c>
      <c r="H13" s="39"/>
    </row>
    <row r="14" spans="1:12" x14ac:dyDescent="0.2">
      <c r="A14" s="39">
        <v>2</v>
      </c>
      <c r="B14" s="647">
        <f t="shared" ref="B14:B27" si="1">B13</f>
        <v>875.21099902234357</v>
      </c>
      <c r="C14" s="39"/>
      <c r="D14" s="39"/>
      <c r="E14" s="39">
        <v>2</v>
      </c>
      <c r="F14" s="647">
        <f t="shared" ref="F14:F27" si="2">F13</f>
        <v>1786.3517407190948</v>
      </c>
      <c r="G14" s="647">
        <f t="shared" si="0"/>
        <v>-15627.296518561809</v>
      </c>
      <c r="H14" s="39"/>
    </row>
    <row r="15" spans="1:12" x14ac:dyDescent="0.2">
      <c r="A15" s="39">
        <v>3</v>
      </c>
      <c r="B15" s="647">
        <f t="shared" si="1"/>
        <v>875.21099902234357</v>
      </c>
      <c r="C15" s="39"/>
      <c r="D15" s="39"/>
      <c r="E15" s="39">
        <v>3</v>
      </c>
      <c r="F15" s="647">
        <f t="shared" si="2"/>
        <v>1786.3517407190948</v>
      </c>
      <c r="G15" s="647">
        <f t="shared" si="0"/>
        <v>-13840.944777842713</v>
      </c>
      <c r="H15" s="39"/>
      <c r="J15" s="646"/>
      <c r="K15" s="646"/>
    </row>
    <row r="16" spans="1:12" x14ac:dyDescent="0.2">
      <c r="A16" s="39">
        <v>4</v>
      </c>
      <c r="B16" s="647">
        <f t="shared" si="1"/>
        <v>875.21099902234357</v>
      </c>
      <c r="C16" s="39"/>
      <c r="D16" s="39"/>
      <c r="E16" s="39">
        <v>4</v>
      </c>
      <c r="F16" s="647">
        <f t="shared" si="2"/>
        <v>1786.3517407190948</v>
      </c>
      <c r="G16" s="647">
        <f t="shared" si="0"/>
        <v>-12054.593037123617</v>
      </c>
      <c r="H16" s="39"/>
    </row>
    <row r="17" spans="1:8" x14ac:dyDescent="0.2">
      <c r="A17" s="39">
        <v>5</v>
      </c>
      <c r="B17" s="647">
        <f t="shared" si="1"/>
        <v>875.21099902234357</v>
      </c>
      <c r="C17" s="39"/>
      <c r="D17" s="39"/>
      <c r="E17" s="39">
        <v>5</v>
      </c>
      <c r="F17" s="647">
        <f t="shared" si="2"/>
        <v>1786.3517407190948</v>
      </c>
      <c r="G17" s="647">
        <f t="shared" si="0"/>
        <v>-10268.241296404522</v>
      </c>
      <c r="H17" s="39"/>
    </row>
    <row r="18" spans="1:8" x14ac:dyDescent="0.2">
      <c r="A18" s="39">
        <v>6</v>
      </c>
      <c r="B18" s="647">
        <f t="shared" si="1"/>
        <v>875.21099902234357</v>
      </c>
      <c r="C18" s="39"/>
      <c r="D18" s="39"/>
      <c r="E18" s="39">
        <v>6</v>
      </c>
      <c r="F18" s="647">
        <f t="shared" si="2"/>
        <v>1786.3517407190948</v>
      </c>
      <c r="G18" s="647">
        <f t="shared" si="0"/>
        <v>-8481.8895556854259</v>
      </c>
      <c r="H18" s="39"/>
    </row>
    <row r="19" spans="1:8" x14ac:dyDescent="0.2">
      <c r="A19" s="39">
        <v>7</v>
      </c>
      <c r="B19" s="647">
        <f t="shared" si="1"/>
        <v>875.21099902234357</v>
      </c>
      <c r="C19" s="39"/>
      <c r="D19" s="39"/>
      <c r="E19" s="39">
        <v>7</v>
      </c>
      <c r="F19" s="647">
        <f t="shared" si="2"/>
        <v>1786.3517407190948</v>
      </c>
      <c r="G19" s="647">
        <f t="shared" si="0"/>
        <v>-6695.5378149663311</v>
      </c>
      <c r="H19" s="39"/>
    </row>
    <row r="20" spans="1:8" x14ac:dyDescent="0.2">
      <c r="A20" s="39">
        <v>8</v>
      </c>
      <c r="B20" s="647">
        <f t="shared" si="1"/>
        <v>875.21099902234357</v>
      </c>
      <c r="C20" s="39"/>
      <c r="D20" s="39"/>
      <c r="E20" s="39">
        <v>8</v>
      </c>
      <c r="F20" s="647">
        <f t="shared" si="2"/>
        <v>1786.3517407190948</v>
      </c>
      <c r="G20" s="647">
        <f t="shared" si="0"/>
        <v>-4909.1860742472363</v>
      </c>
      <c r="H20" s="39"/>
    </row>
    <row r="21" spans="1:8" x14ac:dyDescent="0.2">
      <c r="A21" s="39">
        <v>9</v>
      </c>
      <c r="B21" s="647">
        <f t="shared" si="1"/>
        <v>875.21099902234357</v>
      </c>
      <c r="C21" s="39"/>
      <c r="D21" s="39"/>
      <c r="E21" s="39">
        <v>9</v>
      </c>
      <c r="F21" s="647">
        <f t="shared" si="2"/>
        <v>1786.3517407190948</v>
      </c>
      <c r="G21" s="647">
        <f t="shared" si="0"/>
        <v>-3122.8343335281415</v>
      </c>
      <c r="H21" s="39"/>
    </row>
    <row r="22" spans="1:8" x14ac:dyDescent="0.2">
      <c r="A22" s="39">
        <v>10</v>
      </c>
      <c r="B22" s="647">
        <f t="shared" si="1"/>
        <v>875.21099902234357</v>
      </c>
      <c r="C22" s="39"/>
      <c r="D22" s="39"/>
      <c r="E22" s="39">
        <v>10</v>
      </c>
      <c r="F22" s="647">
        <f t="shared" si="2"/>
        <v>1786.3517407190948</v>
      </c>
      <c r="G22" s="647">
        <f t="shared" si="0"/>
        <v>-1336.4825928090468</v>
      </c>
      <c r="H22" s="39"/>
    </row>
    <row r="23" spans="1:8" x14ac:dyDescent="0.2">
      <c r="A23" s="39">
        <v>11</v>
      </c>
      <c r="B23" s="647">
        <f t="shared" si="1"/>
        <v>875.21099902234357</v>
      </c>
      <c r="C23" s="39"/>
      <c r="D23" s="39"/>
      <c r="E23" s="39">
        <v>11</v>
      </c>
      <c r="F23" s="647">
        <f t="shared" si="2"/>
        <v>1786.3517407190948</v>
      </c>
      <c r="G23" s="647">
        <f t="shared" si="0"/>
        <v>449.86914791004801</v>
      </c>
      <c r="H23" s="39"/>
    </row>
    <row r="24" spans="1:8" x14ac:dyDescent="0.2">
      <c r="A24" s="39">
        <v>12</v>
      </c>
      <c r="B24" s="647">
        <f t="shared" si="1"/>
        <v>875.21099902234357</v>
      </c>
      <c r="C24" s="39"/>
      <c r="D24" s="39"/>
      <c r="E24" s="39">
        <v>12</v>
      </c>
      <c r="F24" s="647">
        <f t="shared" si="2"/>
        <v>1786.3517407190948</v>
      </c>
      <c r="G24" s="647">
        <f t="shared" si="0"/>
        <v>2236.2208886291428</v>
      </c>
      <c r="H24" s="39"/>
    </row>
    <row r="25" spans="1:8" x14ac:dyDescent="0.2">
      <c r="A25" s="39">
        <v>13</v>
      </c>
      <c r="B25" s="647">
        <f t="shared" si="1"/>
        <v>875.21099902234357</v>
      </c>
      <c r="C25" s="39"/>
      <c r="D25" s="39"/>
      <c r="E25" s="39">
        <v>13</v>
      </c>
      <c r="F25" s="647">
        <f t="shared" si="2"/>
        <v>1786.3517407190948</v>
      </c>
      <c r="G25" s="647">
        <f t="shared" si="0"/>
        <v>4022.5726293482376</v>
      </c>
      <c r="H25" s="39"/>
    </row>
    <row r="26" spans="1:8" x14ac:dyDescent="0.2">
      <c r="A26" s="39">
        <v>14</v>
      </c>
      <c r="B26" s="647">
        <f t="shared" si="1"/>
        <v>875.21099902234357</v>
      </c>
      <c r="C26" s="39"/>
      <c r="D26" s="39"/>
      <c r="E26" s="39">
        <v>14</v>
      </c>
      <c r="F26" s="647">
        <f t="shared" si="2"/>
        <v>1786.3517407190948</v>
      </c>
      <c r="G26" s="647">
        <f t="shared" si="0"/>
        <v>5808.9243700673323</v>
      </c>
      <c r="H26" s="39"/>
    </row>
    <row r="27" spans="1:8" x14ac:dyDescent="0.2">
      <c r="A27" s="39">
        <v>15</v>
      </c>
      <c r="B27" s="647">
        <f t="shared" si="1"/>
        <v>875.21099902234357</v>
      </c>
      <c r="C27" s="39"/>
      <c r="D27" s="39"/>
      <c r="E27" s="39">
        <v>15</v>
      </c>
      <c r="F27" s="647">
        <f t="shared" si="2"/>
        <v>1786.3517407190948</v>
      </c>
      <c r="G27" s="647">
        <f t="shared" si="0"/>
        <v>7595.2761107864271</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75"/>
      <c r="B32" s="648"/>
      <c r="C32" s="75"/>
      <c r="D32" s="75"/>
      <c r="E32" s="75"/>
      <c r="F32" s="648"/>
      <c r="G32" s="648"/>
      <c r="H32" s="75"/>
    </row>
    <row r="33" spans="1:8" x14ac:dyDescent="0.2">
      <c r="A33" s="21"/>
      <c r="B33" s="21"/>
      <c r="C33" s="21"/>
      <c r="D33" s="21"/>
      <c r="E33" s="21"/>
      <c r="F33" s="21"/>
      <c r="G33" s="21"/>
      <c r="H33" s="21"/>
    </row>
  </sheetData>
  <mergeCells count="6">
    <mergeCell ref="A9:B9"/>
    <mergeCell ref="A2:G2"/>
    <mergeCell ref="A4:F4"/>
    <mergeCell ref="A6:B6"/>
    <mergeCell ref="A7:B7"/>
    <mergeCell ref="A8:B8"/>
  </mergeCells>
  <pageMargins left="0.70866141732283472" right="0.70866141732283472" top="0.74803149606299213" bottom="0.74803149606299213" header="0.31496062992125984" footer="0.31496062992125984"/>
  <pageSetup paperSize="9" scale="95" orientation="portrait" r:id="rId1"/>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view="pageBreakPreview" topLeftCell="A15" zoomScale="85" zoomScaleNormal="100" zoomScaleSheetLayoutView="85" workbookViewId="0">
      <selection activeCell="L21" sqref="L21"/>
    </sheetView>
  </sheetViews>
  <sheetFormatPr defaultRowHeight="12.75" x14ac:dyDescent="0.2"/>
  <cols>
    <col min="3" max="3" width="12.28515625" customWidth="1"/>
    <col min="6" max="6" width="10.42578125" customWidth="1"/>
    <col min="7" max="7" width="12.85546875" customWidth="1"/>
    <col min="8" max="8" width="14.7109375" customWidth="1"/>
    <col min="9" max="9" width="11.42578125" customWidth="1"/>
  </cols>
  <sheetData>
    <row r="2" spans="1:12" x14ac:dyDescent="0.2">
      <c r="A2" s="802" t="s">
        <v>255</v>
      </c>
      <c r="B2" s="802"/>
      <c r="C2" s="802"/>
      <c r="D2" s="802"/>
      <c r="E2" s="802"/>
      <c r="F2" s="802"/>
      <c r="G2" s="802"/>
    </row>
    <row r="3" spans="1:12" x14ac:dyDescent="0.2">
      <c r="A3" s="636"/>
      <c r="B3" s="637"/>
      <c r="C3" s="637"/>
      <c r="D3" s="637"/>
      <c r="E3" s="637"/>
      <c r="F3" s="637"/>
      <c r="G3" s="637"/>
    </row>
    <row r="4" spans="1:12" x14ac:dyDescent="0.2">
      <c r="A4" s="802" t="s">
        <v>269</v>
      </c>
      <c r="B4" s="802"/>
      <c r="C4" s="802"/>
      <c r="D4" s="802"/>
      <c r="E4" s="802"/>
      <c r="F4" s="802"/>
      <c r="G4" s="802"/>
    </row>
    <row r="5" spans="1:12" x14ac:dyDescent="0.2">
      <c r="A5" s="649"/>
      <c r="B5" s="650"/>
      <c r="C5" s="650"/>
      <c r="D5" s="650"/>
      <c r="E5" s="39"/>
      <c r="F5" s="650"/>
      <c r="G5" s="650"/>
    </row>
    <row r="6" spans="1:12" x14ac:dyDescent="0.2">
      <c r="A6" s="803" t="s">
        <v>257</v>
      </c>
      <c r="B6" s="803"/>
      <c r="C6" s="803"/>
      <c r="D6" s="638">
        <f>'podatki analize'!F27/'podatki analize'!F33</f>
        <v>9.657430792883968</v>
      </c>
      <c r="E6" s="38" t="s">
        <v>258</v>
      </c>
      <c r="F6" s="3"/>
      <c r="G6" s="3"/>
      <c r="H6" s="3"/>
      <c r="I6" s="3"/>
      <c r="J6" s="3"/>
      <c r="K6" s="3"/>
      <c r="L6" s="3"/>
    </row>
    <row r="7" spans="1:12" x14ac:dyDescent="0.2">
      <c r="A7" s="801" t="s">
        <v>259</v>
      </c>
      <c r="B7" s="801"/>
      <c r="C7" s="801"/>
      <c r="D7" s="639">
        <f>NPV('podatki analize'!E35,B13:B27)-B12</f>
        <v>27776.949934410542</v>
      </c>
      <c r="E7" s="38" t="s">
        <v>260</v>
      </c>
    </row>
    <row r="8" spans="1:12" x14ac:dyDescent="0.2">
      <c r="A8" s="801" t="s">
        <v>261</v>
      </c>
      <c r="B8" s="801"/>
      <c r="C8" s="801"/>
      <c r="D8" s="639">
        <f>NPV('podatki analize'!E35,F13:F27)+F12</f>
        <v>1815.3357810576072</v>
      </c>
      <c r="E8" s="38" t="s">
        <v>260</v>
      </c>
    </row>
    <row r="9" spans="1:12" x14ac:dyDescent="0.2">
      <c r="A9" s="801" t="s">
        <v>262</v>
      </c>
      <c r="B9" s="801"/>
      <c r="C9" s="801"/>
      <c r="D9" s="640">
        <f>IRR(F12:F27,0.01)</f>
        <v>6.086755509560926E-2</v>
      </c>
      <c r="E9" s="38"/>
    </row>
    <row r="11" spans="1:12" ht="50.25" customHeight="1" x14ac:dyDescent="0.2">
      <c r="A11" s="651" t="s">
        <v>263</v>
      </c>
      <c r="B11" s="641" t="s">
        <v>264</v>
      </c>
      <c r="C11" s="641" t="s">
        <v>265</v>
      </c>
      <c r="D11" s="641"/>
      <c r="E11" s="652" t="s">
        <v>263</v>
      </c>
      <c r="F11" s="641" t="s">
        <v>264</v>
      </c>
      <c r="G11" s="641" t="s">
        <v>266</v>
      </c>
      <c r="H11" s="653" t="s">
        <v>267</v>
      </c>
    </row>
    <row r="12" spans="1:12" x14ac:dyDescent="0.2">
      <c r="A12" s="39">
        <v>0</v>
      </c>
      <c r="B12" s="654">
        <f>-'podatki analize'!F27</f>
        <v>-12000</v>
      </c>
      <c r="C12" s="654">
        <f>'podatki analize'!F32</f>
        <v>1418.9962375986381</v>
      </c>
      <c r="D12" s="39"/>
      <c r="E12" s="39">
        <v>0</v>
      </c>
      <c r="F12" s="654">
        <f>B12</f>
        <v>-12000</v>
      </c>
      <c r="G12" s="654">
        <f>F12</f>
        <v>-12000</v>
      </c>
      <c r="H12" s="654">
        <f>'podatki analize'!F33</f>
        <v>1242.5665021428001</v>
      </c>
      <c r="I12" s="39"/>
      <c r="J12" s="646"/>
      <c r="K12" s="646"/>
    </row>
    <row r="13" spans="1:12" x14ac:dyDescent="0.2">
      <c r="A13" s="39">
        <v>1</v>
      </c>
      <c r="B13" s="647">
        <f>C12</f>
        <v>1418.9962375986381</v>
      </c>
      <c r="C13" s="39"/>
      <c r="D13" s="39"/>
      <c r="E13" s="39">
        <v>1</v>
      </c>
      <c r="F13" s="647">
        <f>H12</f>
        <v>1242.5665021428001</v>
      </c>
      <c r="G13" s="647">
        <f t="shared" ref="G13:G27" si="0">G12+F13</f>
        <v>-10757.433497857201</v>
      </c>
      <c r="H13" s="39"/>
      <c r="I13" s="39"/>
    </row>
    <row r="14" spans="1:12" x14ac:dyDescent="0.2">
      <c r="A14" s="39">
        <v>2</v>
      </c>
      <c r="B14" s="647">
        <f t="shared" ref="B14:B27" si="1">B13</f>
        <v>1418.9962375986381</v>
      </c>
      <c r="C14" s="39"/>
      <c r="D14" s="39"/>
      <c r="E14" s="39">
        <v>2</v>
      </c>
      <c r="F14" s="647">
        <f t="shared" ref="F14:F27" si="2">F13</f>
        <v>1242.5665021428001</v>
      </c>
      <c r="G14" s="647">
        <f t="shared" si="0"/>
        <v>-9514.8669957144011</v>
      </c>
      <c r="H14" s="39"/>
      <c r="I14" s="39"/>
    </row>
    <row r="15" spans="1:12" x14ac:dyDescent="0.2">
      <c r="A15" s="39">
        <v>3</v>
      </c>
      <c r="B15" s="647">
        <f t="shared" si="1"/>
        <v>1418.9962375986381</v>
      </c>
      <c r="C15" s="39"/>
      <c r="D15" s="39"/>
      <c r="E15" s="39">
        <v>3</v>
      </c>
      <c r="F15" s="647">
        <f t="shared" si="2"/>
        <v>1242.5665021428001</v>
      </c>
      <c r="G15" s="647">
        <f t="shared" si="0"/>
        <v>-8272.3004935716017</v>
      </c>
      <c r="H15" s="39"/>
      <c r="I15" s="39"/>
      <c r="J15" s="646"/>
      <c r="K15" s="646"/>
    </row>
    <row r="16" spans="1:12" x14ac:dyDescent="0.2">
      <c r="A16" s="39">
        <v>4</v>
      </c>
      <c r="B16" s="647">
        <f t="shared" si="1"/>
        <v>1418.9962375986381</v>
      </c>
      <c r="C16" s="39"/>
      <c r="D16" s="39"/>
      <c r="E16" s="39">
        <v>4</v>
      </c>
      <c r="F16" s="647">
        <f t="shared" si="2"/>
        <v>1242.5665021428001</v>
      </c>
      <c r="G16" s="647">
        <f t="shared" si="0"/>
        <v>-7029.7339914288013</v>
      </c>
      <c r="H16" s="39"/>
      <c r="I16" s="39"/>
    </row>
    <row r="17" spans="1:9" x14ac:dyDescent="0.2">
      <c r="A17" s="39">
        <v>5</v>
      </c>
      <c r="B17" s="647">
        <f t="shared" si="1"/>
        <v>1418.9962375986381</v>
      </c>
      <c r="C17" s="39"/>
      <c r="D17" s="39"/>
      <c r="E17" s="39">
        <v>5</v>
      </c>
      <c r="F17" s="647">
        <f t="shared" si="2"/>
        <v>1242.5665021428001</v>
      </c>
      <c r="G17" s="647">
        <f t="shared" si="0"/>
        <v>-5787.167489286001</v>
      </c>
      <c r="H17" s="39"/>
      <c r="I17" s="39"/>
    </row>
    <row r="18" spans="1:9" x14ac:dyDescent="0.2">
      <c r="A18" s="39">
        <v>6</v>
      </c>
      <c r="B18" s="647">
        <f t="shared" si="1"/>
        <v>1418.9962375986381</v>
      </c>
      <c r="C18" s="39"/>
      <c r="D18" s="39"/>
      <c r="E18" s="39">
        <v>6</v>
      </c>
      <c r="F18" s="647">
        <f t="shared" si="2"/>
        <v>1242.5665021428001</v>
      </c>
      <c r="G18" s="647">
        <f t="shared" si="0"/>
        <v>-4544.6009871432007</v>
      </c>
      <c r="H18" s="39"/>
      <c r="I18" s="39"/>
    </row>
    <row r="19" spans="1:9" x14ac:dyDescent="0.2">
      <c r="A19" s="39">
        <v>7</v>
      </c>
      <c r="B19" s="647">
        <f t="shared" si="1"/>
        <v>1418.9962375986381</v>
      </c>
      <c r="C19" s="39"/>
      <c r="D19" s="39"/>
      <c r="E19" s="39">
        <v>7</v>
      </c>
      <c r="F19" s="647">
        <f t="shared" si="2"/>
        <v>1242.5665021428001</v>
      </c>
      <c r="G19" s="647">
        <f t="shared" si="0"/>
        <v>-3302.0344850004003</v>
      </c>
      <c r="H19" s="39"/>
      <c r="I19" s="39"/>
    </row>
    <row r="20" spans="1:9" x14ac:dyDescent="0.2">
      <c r="A20" s="39">
        <v>8</v>
      </c>
      <c r="B20" s="647">
        <f t="shared" si="1"/>
        <v>1418.9962375986381</v>
      </c>
      <c r="C20" s="39"/>
      <c r="D20" s="39"/>
      <c r="E20" s="39">
        <v>8</v>
      </c>
      <c r="F20" s="647">
        <f t="shared" si="2"/>
        <v>1242.5665021428001</v>
      </c>
      <c r="G20" s="647">
        <f t="shared" si="0"/>
        <v>-2059.4679828576</v>
      </c>
      <c r="H20" s="39"/>
      <c r="I20" s="39"/>
    </row>
    <row r="21" spans="1:9" x14ac:dyDescent="0.2">
      <c r="A21" s="39">
        <v>9</v>
      </c>
      <c r="B21" s="647">
        <f t="shared" si="1"/>
        <v>1418.9962375986381</v>
      </c>
      <c r="C21" s="39"/>
      <c r="D21" s="39"/>
      <c r="E21" s="39">
        <v>9</v>
      </c>
      <c r="F21" s="647">
        <f t="shared" si="2"/>
        <v>1242.5665021428001</v>
      </c>
      <c r="G21" s="647">
        <f t="shared" si="0"/>
        <v>-816.90148071479985</v>
      </c>
      <c r="H21" s="39"/>
      <c r="I21" s="39"/>
    </row>
    <row r="22" spans="1:9" x14ac:dyDescent="0.2">
      <c r="A22" s="39">
        <v>10</v>
      </c>
      <c r="B22" s="647">
        <f t="shared" si="1"/>
        <v>1418.9962375986381</v>
      </c>
      <c r="C22" s="39"/>
      <c r="D22" s="39"/>
      <c r="E22" s="39">
        <v>10</v>
      </c>
      <c r="F22" s="647">
        <f t="shared" si="2"/>
        <v>1242.5665021428001</v>
      </c>
      <c r="G22" s="647">
        <f t="shared" si="0"/>
        <v>425.66502142800027</v>
      </c>
      <c r="H22" s="39"/>
      <c r="I22" s="39"/>
    </row>
    <row r="23" spans="1:9" x14ac:dyDescent="0.2">
      <c r="A23" s="39">
        <v>11</v>
      </c>
      <c r="B23" s="647">
        <f t="shared" si="1"/>
        <v>1418.9962375986381</v>
      </c>
      <c r="C23" s="39"/>
      <c r="D23" s="39"/>
      <c r="E23" s="39">
        <v>11</v>
      </c>
      <c r="F23" s="647">
        <f t="shared" si="2"/>
        <v>1242.5665021428001</v>
      </c>
      <c r="G23" s="647">
        <f t="shared" si="0"/>
        <v>1668.2315235708004</v>
      </c>
      <c r="H23" s="39"/>
      <c r="I23" s="39"/>
    </row>
    <row r="24" spans="1:9" x14ac:dyDescent="0.2">
      <c r="A24" s="39">
        <v>12</v>
      </c>
      <c r="B24" s="647">
        <f t="shared" si="1"/>
        <v>1418.9962375986381</v>
      </c>
      <c r="C24" s="39"/>
      <c r="D24" s="39"/>
      <c r="E24" s="39">
        <v>12</v>
      </c>
      <c r="F24" s="647">
        <f t="shared" si="2"/>
        <v>1242.5665021428001</v>
      </c>
      <c r="G24" s="647">
        <f t="shared" si="0"/>
        <v>2910.7980257136005</v>
      </c>
      <c r="H24" s="39"/>
      <c r="I24" s="39"/>
    </row>
    <row r="25" spans="1:9" x14ac:dyDescent="0.2">
      <c r="A25" s="39">
        <v>13</v>
      </c>
      <c r="B25" s="647">
        <f t="shared" si="1"/>
        <v>1418.9962375986381</v>
      </c>
      <c r="C25" s="39"/>
      <c r="D25" s="39"/>
      <c r="E25" s="39">
        <v>13</v>
      </c>
      <c r="F25" s="647">
        <f t="shared" si="2"/>
        <v>1242.5665021428001</v>
      </c>
      <c r="G25" s="647">
        <f t="shared" si="0"/>
        <v>4153.3645278564009</v>
      </c>
      <c r="H25" s="39"/>
      <c r="I25" s="39"/>
    </row>
    <row r="26" spans="1:9" x14ac:dyDescent="0.2">
      <c r="A26" s="39">
        <v>14</v>
      </c>
      <c r="B26" s="647">
        <f t="shared" si="1"/>
        <v>1418.9962375986381</v>
      </c>
      <c r="C26" s="39"/>
      <c r="D26" s="39"/>
      <c r="E26" s="39">
        <v>14</v>
      </c>
      <c r="F26" s="647">
        <f t="shared" si="2"/>
        <v>1242.5665021428001</v>
      </c>
      <c r="G26" s="647">
        <f t="shared" si="0"/>
        <v>5395.9310299992012</v>
      </c>
      <c r="H26" s="39"/>
      <c r="I26" s="39"/>
    </row>
    <row r="27" spans="1:9" x14ac:dyDescent="0.2">
      <c r="A27" s="39">
        <v>15</v>
      </c>
      <c r="B27" s="647">
        <f t="shared" si="1"/>
        <v>1418.9962375986381</v>
      </c>
      <c r="C27" s="39"/>
      <c r="D27" s="39"/>
      <c r="E27" s="39">
        <v>15</v>
      </c>
      <c r="F27" s="647">
        <f t="shared" si="2"/>
        <v>1242.5665021428001</v>
      </c>
      <c r="G27" s="647">
        <f t="shared" si="0"/>
        <v>6638.4975321420015</v>
      </c>
      <c r="H27" s="39"/>
      <c r="I27" s="39"/>
    </row>
    <row r="28" spans="1:9" x14ac:dyDescent="0.2">
      <c r="A28" s="39"/>
      <c r="B28" s="647"/>
      <c r="C28" s="39"/>
      <c r="D28" s="39"/>
      <c r="E28" s="39"/>
      <c r="F28" s="647"/>
      <c r="G28" s="647"/>
      <c r="H28" s="39"/>
      <c r="I28" s="39"/>
    </row>
    <row r="29" spans="1:9" x14ac:dyDescent="0.2">
      <c r="A29" s="39"/>
      <c r="B29" s="647"/>
      <c r="C29" s="39"/>
      <c r="D29" s="39"/>
      <c r="E29" s="39"/>
      <c r="F29" s="647"/>
      <c r="G29" s="647"/>
      <c r="H29" s="39"/>
      <c r="I29" s="39"/>
    </row>
    <row r="30" spans="1:9" x14ac:dyDescent="0.2">
      <c r="A30" s="39"/>
      <c r="B30" s="647"/>
      <c r="C30" s="39"/>
      <c r="D30" s="39"/>
      <c r="E30" s="39"/>
      <c r="F30" s="647"/>
      <c r="G30" s="647"/>
      <c r="H30" s="39"/>
      <c r="I30" s="39"/>
    </row>
    <row r="31" spans="1:9" x14ac:dyDescent="0.2">
      <c r="A31" s="39"/>
      <c r="B31" s="647"/>
      <c r="C31" s="39"/>
      <c r="D31" s="39"/>
      <c r="E31" s="39"/>
      <c r="F31" s="647"/>
      <c r="G31" s="647"/>
      <c r="H31" s="39"/>
      <c r="I31" s="39"/>
    </row>
    <row r="32" spans="1:9" x14ac:dyDescent="0.2">
      <c r="A32" s="39"/>
      <c r="B32" s="647"/>
      <c r="C32" s="39"/>
      <c r="D32" s="39"/>
      <c r="E32" s="39"/>
      <c r="F32" s="647"/>
      <c r="G32" s="647"/>
      <c r="H32" s="39"/>
      <c r="I32" s="39"/>
    </row>
  </sheetData>
  <mergeCells count="6">
    <mergeCell ref="A9:C9"/>
    <mergeCell ref="A2:G2"/>
    <mergeCell ref="A4:G4"/>
    <mergeCell ref="A6:C6"/>
    <mergeCell ref="A7:C7"/>
    <mergeCell ref="A8:C8"/>
  </mergeCells>
  <pageMargins left="0.7" right="0.7" top="0.75" bottom="0.75" header="0.3" footer="0.3"/>
  <pageSetup paperSize="9" scale="95" orientation="portrait" r:id="rId1"/>
  <headerFooter alignWithMargins="0"/>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
  <sheetViews>
    <sheetView workbookViewId="0">
      <selection activeCell="A3" sqref="A3"/>
    </sheetView>
  </sheetViews>
  <sheetFormatPr defaultRowHeight="12.75" x14ac:dyDescent="0.2"/>
  <cols>
    <col min="3" max="3" width="12.28515625" customWidth="1"/>
    <col min="6" max="6" width="10.42578125" customWidth="1"/>
    <col min="7" max="7" width="12.85546875" customWidth="1"/>
    <col min="8" max="8" width="14.7109375" customWidth="1"/>
    <col min="9" max="9" width="11.42578125" customWidth="1"/>
  </cols>
  <sheetData>
    <row r="2" spans="1:12" x14ac:dyDescent="0.2">
      <c r="A2" s="802" t="s">
        <v>255</v>
      </c>
      <c r="B2" s="802"/>
      <c r="C2" s="802"/>
      <c r="D2" s="802"/>
      <c r="E2" s="802"/>
      <c r="F2" s="802"/>
      <c r="G2" s="802"/>
    </row>
    <row r="3" spans="1:12" x14ac:dyDescent="0.2">
      <c r="A3" s="636"/>
      <c r="B3" s="637"/>
      <c r="C3" s="637"/>
      <c r="D3" s="637"/>
      <c r="E3" s="637"/>
      <c r="F3" s="637"/>
      <c r="G3" s="637"/>
    </row>
    <row r="4" spans="1:12" x14ac:dyDescent="0.2">
      <c r="A4" s="802" t="s">
        <v>270</v>
      </c>
      <c r="B4" s="802"/>
      <c r="C4" s="802"/>
      <c r="D4" s="802"/>
      <c r="E4" s="802"/>
      <c r="F4" s="802"/>
      <c r="G4" s="802"/>
    </row>
    <row r="5" spans="1:12" x14ac:dyDescent="0.2">
      <c r="A5" s="649"/>
      <c r="B5" s="650"/>
      <c r="C5" s="650"/>
      <c r="D5" s="650"/>
      <c r="E5" s="39"/>
      <c r="F5" s="650"/>
      <c r="G5" s="650"/>
    </row>
    <row r="6" spans="1:12" x14ac:dyDescent="0.2">
      <c r="A6" s="803" t="s">
        <v>257</v>
      </c>
      <c r="B6" s="803"/>
      <c r="C6" s="803"/>
      <c r="D6" s="638">
        <f>'podatki analize'!G27/'podatki analize'!G33</f>
        <v>14.258944728928725</v>
      </c>
      <c r="E6" s="38" t="s">
        <v>258</v>
      </c>
      <c r="F6" s="3"/>
      <c r="G6" s="3"/>
      <c r="H6" s="3"/>
      <c r="I6" s="3"/>
      <c r="J6" s="3"/>
      <c r="K6" s="3"/>
      <c r="L6" s="3"/>
    </row>
    <row r="7" spans="1:12" x14ac:dyDescent="0.2">
      <c r="A7" s="801" t="s">
        <v>259</v>
      </c>
      <c r="B7" s="801"/>
      <c r="C7" s="801"/>
      <c r="D7" s="639">
        <f>NPV('podatki analize'!E35,B13:B27)-B12</f>
        <v>31310.249238044555</v>
      </c>
      <c r="E7" s="38" t="s">
        <v>260</v>
      </c>
    </row>
    <row r="8" spans="1:12" x14ac:dyDescent="0.2">
      <c r="A8" s="801" t="s">
        <v>261</v>
      </c>
      <c r="B8" s="801"/>
      <c r="C8" s="801"/>
      <c r="D8" s="639">
        <f>NPV('podatki analize'!E35,F13:F27)+F12</f>
        <v>-1717.9635225764114</v>
      </c>
      <c r="E8" s="38" t="s">
        <v>260</v>
      </c>
    </row>
    <row r="9" spans="1:12" x14ac:dyDescent="0.2">
      <c r="A9" s="801" t="s">
        <v>262</v>
      </c>
      <c r="B9" s="801"/>
      <c r="C9" s="801"/>
      <c r="D9" s="640">
        <f>IRR(F12:F27,0.01)</f>
        <v>6.4011195707995849E-3</v>
      </c>
      <c r="E9" s="38"/>
    </row>
    <row r="11" spans="1:12" ht="50.25" customHeight="1" x14ac:dyDescent="0.2">
      <c r="A11" s="651" t="s">
        <v>263</v>
      </c>
      <c r="B11" s="641" t="s">
        <v>264</v>
      </c>
      <c r="C11" s="641" t="s">
        <v>265</v>
      </c>
      <c r="D11" s="641"/>
      <c r="E11" s="652" t="s">
        <v>263</v>
      </c>
      <c r="F11" s="641" t="s">
        <v>264</v>
      </c>
      <c r="G11" s="641" t="s">
        <v>266</v>
      </c>
      <c r="H11" s="653" t="s">
        <v>267</v>
      </c>
    </row>
    <row r="12" spans="1:12" x14ac:dyDescent="0.2">
      <c r="A12" s="39">
        <v>0</v>
      </c>
      <c r="B12" s="654">
        <f>-'podatki analize'!G27</f>
        <v>-7800</v>
      </c>
      <c r="C12" s="654">
        <f>'podatki analize'!G32</f>
        <v>2114.5376864655627</v>
      </c>
      <c r="D12" s="39"/>
      <c r="E12" s="39">
        <v>0</v>
      </c>
      <c r="F12" s="654">
        <f>B12</f>
        <v>-7800</v>
      </c>
      <c r="G12" s="654">
        <f>F12</f>
        <v>-7800</v>
      </c>
      <c r="H12" s="654">
        <f>'podatki analize'!G33</f>
        <v>547.02505327587551</v>
      </c>
      <c r="I12" s="39"/>
      <c r="J12" s="646"/>
      <c r="K12" s="646"/>
    </row>
    <row r="13" spans="1:12" x14ac:dyDescent="0.2">
      <c r="A13" s="39">
        <v>1</v>
      </c>
      <c r="B13" s="647">
        <f>C12</f>
        <v>2114.5376864655627</v>
      </c>
      <c r="C13" s="39"/>
      <c r="D13" s="39"/>
      <c r="E13" s="39">
        <v>1</v>
      </c>
      <c r="F13" s="647">
        <f>H12</f>
        <v>547.02505327587551</v>
      </c>
      <c r="G13" s="647">
        <f t="shared" ref="G13:G27" si="0">G12+F13</f>
        <v>-7252.9749467241245</v>
      </c>
      <c r="H13" s="39"/>
      <c r="I13" s="39"/>
    </row>
    <row r="14" spans="1:12" x14ac:dyDescent="0.2">
      <c r="A14" s="39">
        <v>2</v>
      </c>
      <c r="B14" s="647">
        <f t="shared" ref="B14:B27" si="1">B13</f>
        <v>2114.5376864655627</v>
      </c>
      <c r="C14" s="39"/>
      <c r="D14" s="39"/>
      <c r="E14" s="39">
        <v>2</v>
      </c>
      <c r="F14" s="647">
        <f t="shared" ref="F14:F27" si="2">F13</f>
        <v>547.02505327587551</v>
      </c>
      <c r="G14" s="647">
        <f t="shared" si="0"/>
        <v>-6705.949893448249</v>
      </c>
      <c r="H14" s="39"/>
      <c r="I14" s="39"/>
    </row>
    <row r="15" spans="1:12" x14ac:dyDescent="0.2">
      <c r="A15" s="39">
        <v>3</v>
      </c>
      <c r="B15" s="647">
        <f t="shared" si="1"/>
        <v>2114.5376864655627</v>
      </c>
      <c r="C15" s="39"/>
      <c r="D15" s="39"/>
      <c r="E15" s="39">
        <v>3</v>
      </c>
      <c r="F15" s="647">
        <f t="shared" si="2"/>
        <v>547.02505327587551</v>
      </c>
      <c r="G15" s="647">
        <f t="shared" si="0"/>
        <v>-6158.9248401723735</v>
      </c>
      <c r="H15" s="39"/>
      <c r="I15" s="39"/>
      <c r="J15" s="646"/>
      <c r="K15" s="646"/>
    </row>
    <row r="16" spans="1:12" x14ac:dyDescent="0.2">
      <c r="A16" s="39">
        <v>4</v>
      </c>
      <c r="B16" s="647">
        <f t="shared" si="1"/>
        <v>2114.5376864655627</v>
      </c>
      <c r="C16" s="39"/>
      <c r="D16" s="39"/>
      <c r="E16" s="39">
        <v>4</v>
      </c>
      <c r="F16" s="647">
        <f t="shared" si="2"/>
        <v>547.02505327587551</v>
      </c>
      <c r="G16" s="647">
        <f t="shared" si="0"/>
        <v>-5611.899786896498</v>
      </c>
      <c r="H16" s="39"/>
      <c r="I16" s="39"/>
    </row>
    <row r="17" spans="1:9" x14ac:dyDescent="0.2">
      <c r="A17" s="39">
        <v>5</v>
      </c>
      <c r="B17" s="647">
        <f t="shared" si="1"/>
        <v>2114.5376864655627</v>
      </c>
      <c r="C17" s="39"/>
      <c r="D17" s="39"/>
      <c r="E17" s="39">
        <v>5</v>
      </c>
      <c r="F17" s="647">
        <f t="shared" si="2"/>
        <v>547.02505327587551</v>
      </c>
      <c r="G17" s="647">
        <f t="shared" si="0"/>
        <v>-5064.8747336206225</v>
      </c>
      <c r="H17" s="39"/>
      <c r="I17" s="39"/>
    </row>
    <row r="18" spans="1:9" x14ac:dyDescent="0.2">
      <c r="A18" s="39">
        <v>6</v>
      </c>
      <c r="B18" s="647">
        <f t="shared" si="1"/>
        <v>2114.5376864655627</v>
      </c>
      <c r="C18" s="39"/>
      <c r="D18" s="39"/>
      <c r="E18" s="39">
        <v>6</v>
      </c>
      <c r="F18" s="647">
        <f t="shared" si="2"/>
        <v>547.02505327587551</v>
      </c>
      <c r="G18" s="647">
        <f t="shared" si="0"/>
        <v>-4517.849680344747</v>
      </c>
      <c r="H18" s="39"/>
      <c r="I18" s="39"/>
    </row>
    <row r="19" spans="1:9" x14ac:dyDescent="0.2">
      <c r="A19" s="39">
        <v>7</v>
      </c>
      <c r="B19" s="647">
        <f t="shared" si="1"/>
        <v>2114.5376864655627</v>
      </c>
      <c r="C19" s="39"/>
      <c r="D19" s="39"/>
      <c r="E19" s="39">
        <v>7</v>
      </c>
      <c r="F19" s="647">
        <f t="shared" si="2"/>
        <v>547.02505327587551</v>
      </c>
      <c r="G19" s="647">
        <f t="shared" si="0"/>
        <v>-3970.8246270688715</v>
      </c>
      <c r="H19" s="39"/>
      <c r="I19" s="39"/>
    </row>
    <row r="20" spans="1:9" x14ac:dyDescent="0.2">
      <c r="A20" s="39">
        <v>8</v>
      </c>
      <c r="B20" s="647">
        <f t="shared" si="1"/>
        <v>2114.5376864655627</v>
      </c>
      <c r="C20" s="39"/>
      <c r="D20" s="39"/>
      <c r="E20" s="39">
        <v>8</v>
      </c>
      <c r="F20" s="647">
        <f t="shared" si="2"/>
        <v>547.02505327587551</v>
      </c>
      <c r="G20" s="647">
        <f t="shared" si="0"/>
        <v>-3423.7995737929959</v>
      </c>
      <c r="H20" s="39"/>
      <c r="I20" s="39"/>
    </row>
    <row r="21" spans="1:9" x14ac:dyDescent="0.2">
      <c r="A21" s="39">
        <v>9</v>
      </c>
      <c r="B21" s="647">
        <f t="shared" si="1"/>
        <v>2114.5376864655627</v>
      </c>
      <c r="C21" s="39"/>
      <c r="D21" s="39"/>
      <c r="E21" s="39">
        <v>9</v>
      </c>
      <c r="F21" s="647">
        <f t="shared" si="2"/>
        <v>547.02505327587551</v>
      </c>
      <c r="G21" s="647">
        <f t="shared" si="0"/>
        <v>-2876.7745205171204</v>
      </c>
      <c r="H21" s="39"/>
      <c r="I21" s="39"/>
    </row>
    <row r="22" spans="1:9" x14ac:dyDescent="0.2">
      <c r="A22" s="39">
        <v>10</v>
      </c>
      <c r="B22" s="647">
        <f t="shared" si="1"/>
        <v>2114.5376864655627</v>
      </c>
      <c r="C22" s="39"/>
      <c r="D22" s="39"/>
      <c r="E22" s="39">
        <v>10</v>
      </c>
      <c r="F22" s="647">
        <f t="shared" si="2"/>
        <v>547.02505327587551</v>
      </c>
      <c r="G22" s="647">
        <f t="shared" si="0"/>
        <v>-2329.7494672412449</v>
      </c>
      <c r="H22" s="39"/>
      <c r="I22" s="39"/>
    </row>
    <row r="23" spans="1:9" x14ac:dyDescent="0.2">
      <c r="A23" s="39">
        <v>11</v>
      </c>
      <c r="B23" s="647">
        <f t="shared" si="1"/>
        <v>2114.5376864655627</v>
      </c>
      <c r="C23" s="39"/>
      <c r="D23" s="39"/>
      <c r="E23" s="39">
        <v>11</v>
      </c>
      <c r="F23" s="647">
        <f t="shared" si="2"/>
        <v>547.02505327587551</v>
      </c>
      <c r="G23" s="647">
        <f t="shared" si="0"/>
        <v>-1782.7244139653694</v>
      </c>
      <c r="H23" s="39"/>
      <c r="I23" s="39"/>
    </row>
    <row r="24" spans="1:9" x14ac:dyDescent="0.2">
      <c r="A24" s="39">
        <v>12</v>
      </c>
      <c r="B24" s="647">
        <f t="shared" si="1"/>
        <v>2114.5376864655627</v>
      </c>
      <c r="C24" s="39"/>
      <c r="D24" s="39"/>
      <c r="E24" s="39">
        <v>12</v>
      </c>
      <c r="F24" s="647">
        <f t="shared" si="2"/>
        <v>547.02505327587551</v>
      </c>
      <c r="G24" s="647">
        <f t="shared" si="0"/>
        <v>-1235.6993606894939</v>
      </c>
      <c r="H24" s="39"/>
      <c r="I24" s="39"/>
    </row>
    <row r="25" spans="1:9" x14ac:dyDescent="0.2">
      <c r="A25" s="39">
        <v>13</v>
      </c>
      <c r="B25" s="647">
        <f t="shared" si="1"/>
        <v>2114.5376864655627</v>
      </c>
      <c r="C25" s="39"/>
      <c r="D25" s="39"/>
      <c r="E25" s="39">
        <v>13</v>
      </c>
      <c r="F25" s="647">
        <f t="shared" si="2"/>
        <v>547.02505327587551</v>
      </c>
      <c r="G25" s="647">
        <f t="shared" si="0"/>
        <v>-688.67430741361841</v>
      </c>
      <c r="H25" s="39"/>
      <c r="I25" s="39"/>
    </row>
    <row r="26" spans="1:9" x14ac:dyDescent="0.2">
      <c r="A26" s="39">
        <v>14</v>
      </c>
      <c r="B26" s="647">
        <f t="shared" si="1"/>
        <v>2114.5376864655627</v>
      </c>
      <c r="C26" s="39"/>
      <c r="D26" s="39"/>
      <c r="E26" s="39">
        <v>14</v>
      </c>
      <c r="F26" s="647">
        <f t="shared" si="2"/>
        <v>547.02505327587551</v>
      </c>
      <c r="G26" s="647">
        <f t="shared" si="0"/>
        <v>-141.6492541377429</v>
      </c>
      <c r="H26" s="39"/>
      <c r="I26" s="39"/>
    </row>
    <row r="27" spans="1:9" x14ac:dyDescent="0.2">
      <c r="A27" s="39">
        <v>15</v>
      </c>
      <c r="B27" s="647">
        <f t="shared" si="1"/>
        <v>2114.5376864655627</v>
      </c>
      <c r="C27" s="39"/>
      <c r="D27" s="39"/>
      <c r="E27" s="39">
        <v>15</v>
      </c>
      <c r="F27" s="647">
        <f t="shared" si="2"/>
        <v>547.02505327587551</v>
      </c>
      <c r="G27" s="647">
        <f t="shared" si="0"/>
        <v>405.37579913813261</v>
      </c>
      <c r="H27" s="39"/>
      <c r="I27" s="39"/>
    </row>
    <row r="28" spans="1:9" x14ac:dyDescent="0.2">
      <c r="A28" s="39"/>
      <c r="B28" s="647"/>
      <c r="C28" s="39"/>
      <c r="D28" s="39"/>
      <c r="E28" s="39"/>
      <c r="F28" s="647"/>
      <c r="G28" s="647"/>
      <c r="H28" s="39"/>
      <c r="I28" s="39"/>
    </row>
    <row r="29" spans="1:9" x14ac:dyDescent="0.2">
      <c r="A29" s="39"/>
      <c r="B29" s="647"/>
      <c r="C29" s="39"/>
      <c r="D29" s="39"/>
      <c r="E29" s="39"/>
      <c r="F29" s="647"/>
      <c r="G29" s="647"/>
      <c r="H29" s="39"/>
      <c r="I29" s="39"/>
    </row>
    <row r="30" spans="1:9" x14ac:dyDescent="0.2">
      <c r="A30" s="39"/>
      <c r="B30" s="647"/>
      <c r="C30" s="39"/>
      <c r="D30" s="39"/>
      <c r="E30" s="39"/>
      <c r="F30" s="647"/>
      <c r="G30" s="647"/>
      <c r="H30" s="39"/>
      <c r="I30" s="39"/>
    </row>
    <row r="31" spans="1:9" x14ac:dyDescent="0.2">
      <c r="A31" s="39"/>
      <c r="B31" s="647"/>
      <c r="C31" s="39"/>
      <c r="D31" s="39"/>
      <c r="E31" s="39"/>
      <c r="F31" s="647"/>
      <c r="G31" s="647"/>
      <c r="H31" s="39"/>
      <c r="I31" s="39"/>
    </row>
    <row r="32" spans="1:9" x14ac:dyDescent="0.2">
      <c r="A32" s="39"/>
      <c r="B32" s="647"/>
      <c r="C32" s="39"/>
      <c r="D32" s="39"/>
      <c r="E32" s="39"/>
      <c r="F32" s="647"/>
      <c r="G32" s="647"/>
      <c r="H32" s="39"/>
      <c r="I32" s="39"/>
    </row>
  </sheetData>
  <mergeCells count="6">
    <mergeCell ref="A9:C9"/>
    <mergeCell ref="A2:G2"/>
    <mergeCell ref="A4:G4"/>
    <mergeCell ref="A6:C6"/>
    <mergeCell ref="A7:C7"/>
    <mergeCell ref="A8:C8"/>
  </mergeCells>
  <pageMargins left="0.7" right="0.7" top="0.75" bottom="0.75" header="0.3" footer="0.3"/>
  <pageSetup paperSize="9" scale="95" orientation="portrait" r:id="rId1"/>
  <headerFooter alignWithMargins="0"/>
  <colBreaks count="1" manualBreakCount="1">
    <brk id="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D6" sqref="D6"/>
    </sheetView>
  </sheetViews>
  <sheetFormatPr defaultRowHeight="12.75" x14ac:dyDescent="0.2"/>
  <cols>
    <col min="1" max="1" width="11.140625" customWidth="1"/>
    <col min="3" max="3" width="10.85546875" customWidth="1"/>
    <col min="6" max="6" width="10.140625" customWidth="1"/>
    <col min="7" max="7" width="11.28515625" customWidth="1"/>
    <col min="8" max="8" width="16.42578125" customWidth="1"/>
  </cols>
  <sheetData>
    <row r="2" spans="1:12" x14ac:dyDescent="0.2">
      <c r="A2" s="802" t="s">
        <v>255</v>
      </c>
      <c r="B2" s="802"/>
      <c r="C2" s="802"/>
      <c r="D2" s="802"/>
      <c r="E2" s="802"/>
      <c r="F2" s="802"/>
      <c r="G2" s="802"/>
      <c r="H2" s="802"/>
    </row>
    <row r="3" spans="1:12" x14ac:dyDescent="0.2">
      <c r="A3" s="655"/>
      <c r="B3" s="623"/>
      <c r="C3" s="623"/>
      <c r="D3" s="623"/>
      <c r="E3" s="623"/>
      <c r="F3" s="623"/>
      <c r="G3" s="623"/>
      <c r="H3" s="623"/>
    </row>
    <row r="4" spans="1:12" x14ac:dyDescent="0.2">
      <c r="A4" s="802" t="s">
        <v>271</v>
      </c>
      <c r="B4" s="802"/>
      <c r="C4" s="802"/>
      <c r="D4" s="802"/>
      <c r="E4" s="802"/>
      <c r="F4" s="802"/>
      <c r="G4" s="636"/>
      <c r="H4" s="623"/>
    </row>
    <row r="5" spans="1:12" x14ac:dyDescent="0.2">
      <c r="A5" s="3"/>
    </row>
    <row r="6" spans="1:12" x14ac:dyDescent="0.2">
      <c r="A6" s="656" t="s">
        <v>257</v>
      </c>
      <c r="B6" s="6"/>
      <c r="C6" s="6"/>
      <c r="D6" s="638">
        <f>'podatki analize'!H27/'podatki analize'!H33</f>
        <v>-31.494604359652456</v>
      </c>
      <c r="E6" s="38" t="s">
        <v>258</v>
      </c>
      <c r="F6" s="3"/>
      <c r="G6" s="3"/>
      <c r="H6" s="3"/>
      <c r="I6" s="3"/>
      <c r="J6" s="3"/>
      <c r="K6" s="3"/>
      <c r="L6" s="3"/>
    </row>
    <row r="7" spans="1:12" x14ac:dyDescent="0.2">
      <c r="A7" s="6" t="s">
        <v>259</v>
      </c>
      <c r="B7" s="6"/>
      <c r="C7" s="6"/>
      <c r="D7" s="639">
        <f>NPV('podatki analize'!E35,B13:B27)-B12</f>
        <v>38048.692903744304</v>
      </c>
      <c r="E7" s="38" t="s">
        <v>260</v>
      </c>
    </row>
    <row r="8" spans="1:12" x14ac:dyDescent="0.2">
      <c r="A8" s="6" t="s">
        <v>261</v>
      </c>
      <c r="B8" s="6"/>
      <c r="C8" s="6"/>
      <c r="D8" s="639">
        <f>NPV('podatki analize'!E35,F13:F27)+F12</f>
        <v>-8456.4071882761564</v>
      </c>
      <c r="E8" s="38" t="s">
        <v>260</v>
      </c>
    </row>
    <row r="9" spans="1:12" x14ac:dyDescent="0.2">
      <c r="A9" s="6" t="s">
        <v>262</v>
      </c>
      <c r="B9" s="6"/>
      <c r="C9" s="6"/>
      <c r="D9" s="640" t="e">
        <f>IRR(F12:F27,0.01)</f>
        <v>#NUM!</v>
      </c>
      <c r="E9" s="6"/>
    </row>
    <row r="11" spans="1:12" ht="50.25" customHeight="1" x14ac:dyDescent="0.2">
      <c r="A11" s="641" t="s">
        <v>263</v>
      </c>
      <c r="B11" s="641" t="s">
        <v>264</v>
      </c>
      <c r="C11" s="641" t="s">
        <v>265</v>
      </c>
      <c r="D11" s="641"/>
      <c r="E11" s="641" t="s">
        <v>263</v>
      </c>
      <c r="F11" s="641" t="s">
        <v>264</v>
      </c>
      <c r="G11" s="641" t="s">
        <v>261</v>
      </c>
      <c r="H11" s="653" t="s">
        <v>267</v>
      </c>
      <c r="J11" s="651"/>
      <c r="K11" s="651"/>
      <c r="L11" s="651"/>
    </row>
    <row r="12" spans="1:12" x14ac:dyDescent="0.2">
      <c r="A12" s="39">
        <v>0</v>
      </c>
      <c r="B12" s="654">
        <f>-'podatki analize'!H27</f>
        <v>-6250</v>
      </c>
      <c r="C12" s="654">
        <f>'podatki analize'!H32</f>
        <v>2860.0094301214208</v>
      </c>
      <c r="D12" s="39"/>
      <c r="E12" s="39">
        <v>0</v>
      </c>
      <c r="F12" s="654">
        <f>B12</f>
        <v>-6250</v>
      </c>
      <c r="G12" s="654">
        <f>F12</f>
        <v>-6250</v>
      </c>
      <c r="H12" s="654">
        <f>'podatki analize'!H33</f>
        <v>-198.44669037998256</v>
      </c>
      <c r="J12" s="646"/>
      <c r="K12" s="646"/>
    </row>
    <row r="13" spans="1:12" x14ac:dyDescent="0.2">
      <c r="A13" s="39">
        <v>1</v>
      </c>
      <c r="B13" s="647">
        <f>C12</f>
        <v>2860.0094301214208</v>
      </c>
      <c r="C13" s="39"/>
      <c r="D13" s="39"/>
      <c r="E13" s="39">
        <v>1</v>
      </c>
      <c r="F13" s="647">
        <f>H12</f>
        <v>-198.44669037998256</v>
      </c>
      <c r="G13" s="647">
        <f t="shared" ref="G13:G27" si="0">G12+F13</f>
        <v>-6448.4466903799821</v>
      </c>
      <c r="H13" s="39"/>
    </row>
    <row r="14" spans="1:12" x14ac:dyDescent="0.2">
      <c r="A14" s="39">
        <v>2</v>
      </c>
      <c r="B14" s="647">
        <f t="shared" ref="B14:B27" si="1">B13</f>
        <v>2860.0094301214208</v>
      </c>
      <c r="C14" s="39"/>
      <c r="D14" s="39"/>
      <c r="E14" s="39">
        <v>2</v>
      </c>
      <c r="F14" s="647">
        <f t="shared" ref="F14:F27" si="2">F13</f>
        <v>-198.44669037998256</v>
      </c>
      <c r="G14" s="647">
        <f t="shared" si="0"/>
        <v>-6646.8933807599642</v>
      </c>
      <c r="H14" s="39"/>
    </row>
    <row r="15" spans="1:12" x14ac:dyDescent="0.2">
      <c r="A15" s="39">
        <v>3</v>
      </c>
      <c r="B15" s="647">
        <f t="shared" si="1"/>
        <v>2860.0094301214208</v>
      </c>
      <c r="C15" s="39"/>
      <c r="D15" s="39"/>
      <c r="E15" s="39">
        <v>3</v>
      </c>
      <c r="F15" s="647">
        <f t="shared" si="2"/>
        <v>-198.44669037998256</v>
      </c>
      <c r="G15" s="647">
        <f t="shared" si="0"/>
        <v>-6845.3400711399463</v>
      </c>
      <c r="H15" s="39"/>
      <c r="J15" s="646"/>
      <c r="K15" s="646"/>
    </row>
    <row r="16" spans="1:12" x14ac:dyDescent="0.2">
      <c r="A16" s="39">
        <v>4</v>
      </c>
      <c r="B16" s="647">
        <f t="shared" si="1"/>
        <v>2860.0094301214208</v>
      </c>
      <c r="C16" s="39"/>
      <c r="D16" s="39"/>
      <c r="E16" s="39">
        <v>4</v>
      </c>
      <c r="F16" s="647">
        <f t="shared" si="2"/>
        <v>-198.44669037998256</v>
      </c>
      <c r="G16" s="647">
        <f t="shared" si="0"/>
        <v>-7043.7867615199284</v>
      </c>
      <c r="H16" s="39"/>
    </row>
    <row r="17" spans="1:8" x14ac:dyDescent="0.2">
      <c r="A17" s="39">
        <v>5</v>
      </c>
      <c r="B17" s="647">
        <f t="shared" si="1"/>
        <v>2860.0094301214208</v>
      </c>
      <c r="C17" s="39"/>
      <c r="D17" s="39"/>
      <c r="E17" s="39">
        <v>5</v>
      </c>
      <c r="F17" s="647">
        <f t="shared" si="2"/>
        <v>-198.44669037998256</v>
      </c>
      <c r="G17" s="647">
        <f t="shared" si="0"/>
        <v>-7242.2334518999105</v>
      </c>
      <c r="H17" s="39"/>
    </row>
    <row r="18" spans="1:8" x14ac:dyDescent="0.2">
      <c r="A18" s="39">
        <v>6</v>
      </c>
      <c r="B18" s="647">
        <f t="shared" si="1"/>
        <v>2860.0094301214208</v>
      </c>
      <c r="C18" s="39"/>
      <c r="D18" s="39"/>
      <c r="E18" s="39">
        <v>6</v>
      </c>
      <c r="F18" s="647">
        <f t="shared" si="2"/>
        <v>-198.44669037998256</v>
      </c>
      <c r="G18" s="647">
        <f t="shared" si="0"/>
        <v>-7440.6801422798926</v>
      </c>
      <c r="H18" s="39"/>
    </row>
    <row r="19" spans="1:8" x14ac:dyDescent="0.2">
      <c r="A19" s="39">
        <v>7</v>
      </c>
      <c r="B19" s="647">
        <f t="shared" si="1"/>
        <v>2860.0094301214208</v>
      </c>
      <c r="C19" s="39"/>
      <c r="D19" s="39"/>
      <c r="E19" s="39">
        <v>7</v>
      </c>
      <c r="F19" s="647">
        <f t="shared" si="2"/>
        <v>-198.44669037998256</v>
      </c>
      <c r="G19" s="647">
        <f t="shared" si="0"/>
        <v>-7639.1268326598747</v>
      </c>
      <c r="H19" s="39"/>
    </row>
    <row r="20" spans="1:8" x14ac:dyDescent="0.2">
      <c r="A20" s="39">
        <v>8</v>
      </c>
      <c r="B20" s="647">
        <f t="shared" si="1"/>
        <v>2860.0094301214208</v>
      </c>
      <c r="C20" s="39"/>
      <c r="D20" s="39"/>
      <c r="E20" s="39">
        <v>8</v>
      </c>
      <c r="F20" s="647">
        <f t="shared" si="2"/>
        <v>-198.44669037998256</v>
      </c>
      <c r="G20" s="647">
        <f t="shared" si="0"/>
        <v>-7837.5735230398568</v>
      </c>
      <c r="H20" s="39"/>
    </row>
    <row r="21" spans="1:8" x14ac:dyDescent="0.2">
      <c r="A21" s="39">
        <v>9</v>
      </c>
      <c r="B21" s="647">
        <f t="shared" si="1"/>
        <v>2860.0094301214208</v>
      </c>
      <c r="C21" s="39"/>
      <c r="D21" s="39"/>
      <c r="E21" s="39">
        <v>9</v>
      </c>
      <c r="F21" s="647">
        <f t="shared" si="2"/>
        <v>-198.44669037998256</v>
      </c>
      <c r="G21" s="647">
        <f t="shared" si="0"/>
        <v>-8036.0202134198389</v>
      </c>
      <c r="H21" s="39"/>
    </row>
    <row r="22" spans="1:8" x14ac:dyDescent="0.2">
      <c r="A22" s="39">
        <v>10</v>
      </c>
      <c r="B22" s="647">
        <f t="shared" si="1"/>
        <v>2860.0094301214208</v>
      </c>
      <c r="C22" s="39"/>
      <c r="D22" s="39"/>
      <c r="E22" s="39">
        <v>10</v>
      </c>
      <c r="F22" s="647">
        <f t="shared" si="2"/>
        <v>-198.44669037998256</v>
      </c>
      <c r="G22" s="647">
        <f t="shared" si="0"/>
        <v>-8234.466903799821</v>
      </c>
      <c r="H22" s="39"/>
    </row>
    <row r="23" spans="1:8" x14ac:dyDescent="0.2">
      <c r="A23" s="39">
        <v>11</v>
      </c>
      <c r="B23" s="647">
        <f t="shared" si="1"/>
        <v>2860.0094301214208</v>
      </c>
      <c r="C23" s="39"/>
      <c r="D23" s="39"/>
      <c r="E23" s="39">
        <v>11</v>
      </c>
      <c r="F23" s="647">
        <f t="shared" si="2"/>
        <v>-198.44669037998256</v>
      </c>
      <c r="G23" s="647">
        <f t="shared" si="0"/>
        <v>-8432.9135941798031</v>
      </c>
      <c r="H23" s="39"/>
    </row>
    <row r="24" spans="1:8" x14ac:dyDescent="0.2">
      <c r="A24" s="39">
        <v>12</v>
      </c>
      <c r="B24" s="647">
        <f t="shared" si="1"/>
        <v>2860.0094301214208</v>
      </c>
      <c r="C24" s="39"/>
      <c r="D24" s="39"/>
      <c r="E24" s="39">
        <v>12</v>
      </c>
      <c r="F24" s="647">
        <f t="shared" si="2"/>
        <v>-198.44669037998256</v>
      </c>
      <c r="G24" s="647">
        <f t="shared" si="0"/>
        <v>-8631.3602845597852</v>
      </c>
      <c r="H24" s="39"/>
    </row>
    <row r="25" spans="1:8" x14ac:dyDescent="0.2">
      <c r="A25" s="39">
        <v>13</v>
      </c>
      <c r="B25" s="647">
        <f t="shared" si="1"/>
        <v>2860.0094301214208</v>
      </c>
      <c r="C25" s="39"/>
      <c r="D25" s="39"/>
      <c r="E25" s="39">
        <v>13</v>
      </c>
      <c r="F25" s="647">
        <f t="shared" si="2"/>
        <v>-198.44669037998256</v>
      </c>
      <c r="G25" s="647">
        <f t="shared" si="0"/>
        <v>-8829.8069749397673</v>
      </c>
      <c r="H25" s="39"/>
    </row>
    <row r="26" spans="1:8" x14ac:dyDescent="0.2">
      <c r="A26" s="39">
        <v>14</v>
      </c>
      <c r="B26" s="647">
        <f t="shared" si="1"/>
        <v>2860.0094301214208</v>
      </c>
      <c r="C26" s="39"/>
      <c r="D26" s="39"/>
      <c r="E26" s="39">
        <v>14</v>
      </c>
      <c r="F26" s="647">
        <f t="shared" si="2"/>
        <v>-198.44669037998256</v>
      </c>
      <c r="G26" s="647">
        <f t="shared" si="0"/>
        <v>-9028.2536653197494</v>
      </c>
      <c r="H26" s="39"/>
    </row>
    <row r="27" spans="1:8" x14ac:dyDescent="0.2">
      <c r="A27" s="39">
        <v>15</v>
      </c>
      <c r="B27" s="647">
        <f t="shared" si="1"/>
        <v>2860.0094301214208</v>
      </c>
      <c r="C27" s="39"/>
      <c r="D27" s="39"/>
      <c r="E27" s="39">
        <v>15</v>
      </c>
      <c r="F27" s="647">
        <f t="shared" si="2"/>
        <v>-198.44669037998256</v>
      </c>
      <c r="G27" s="647">
        <f t="shared" si="0"/>
        <v>-9226.7003556997315</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39"/>
      <c r="B32" s="647"/>
      <c r="C32" s="39"/>
      <c r="D32" s="39"/>
      <c r="E32" s="39"/>
      <c r="F32" s="647"/>
      <c r="G32" s="647"/>
      <c r="H32" s="39"/>
    </row>
    <row r="33" spans="1:8" x14ac:dyDescent="0.2">
      <c r="A33" s="39"/>
      <c r="B33" s="39"/>
      <c r="C33" s="39"/>
      <c r="D33" s="39"/>
      <c r="E33" s="39"/>
      <c r="F33" s="39"/>
      <c r="G33" s="39"/>
      <c r="H33" s="39"/>
    </row>
  </sheetData>
  <mergeCells count="2">
    <mergeCell ref="A2:H2"/>
    <mergeCell ref="A4:F4"/>
  </mergeCells>
  <pageMargins left="0.7" right="0.7" top="0.75" bottom="0.75" header="0.3" footer="0.3"/>
  <pageSetup paperSize="9" scale="94" orientation="portrait"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A3" sqref="A3"/>
    </sheetView>
  </sheetViews>
  <sheetFormatPr defaultRowHeight="12.75" x14ac:dyDescent="0.2"/>
  <cols>
    <col min="1" max="1" width="11.140625" customWidth="1"/>
    <col min="3" max="3" width="10.85546875" customWidth="1"/>
    <col min="6" max="6" width="10.140625" customWidth="1"/>
    <col min="7" max="7" width="11.28515625" customWidth="1"/>
    <col min="8" max="8" width="16.42578125" customWidth="1"/>
  </cols>
  <sheetData>
    <row r="2" spans="1:12" x14ac:dyDescent="0.2">
      <c r="A2" s="802" t="s">
        <v>255</v>
      </c>
      <c r="B2" s="802"/>
      <c r="C2" s="802"/>
      <c r="D2" s="802"/>
      <c r="E2" s="802"/>
      <c r="F2" s="802"/>
      <c r="G2" s="802"/>
      <c r="H2" s="802"/>
    </row>
    <row r="3" spans="1:12" x14ac:dyDescent="0.2">
      <c r="A3" s="655"/>
      <c r="B3" s="623"/>
      <c r="C3" s="623"/>
      <c r="D3" s="623"/>
      <c r="E3" s="623"/>
      <c r="F3" s="623"/>
      <c r="G3" s="623"/>
      <c r="H3" s="623"/>
    </row>
    <row r="4" spans="1:12" x14ac:dyDescent="0.2">
      <c r="A4" s="802" t="s">
        <v>272</v>
      </c>
      <c r="B4" s="802"/>
      <c r="C4" s="802"/>
      <c r="D4" s="802"/>
      <c r="E4" s="802"/>
      <c r="F4" s="802"/>
      <c r="G4" s="636"/>
      <c r="H4" s="623"/>
    </row>
    <row r="5" spans="1:12" x14ac:dyDescent="0.2">
      <c r="A5" s="3"/>
    </row>
    <row r="6" spans="1:12" x14ac:dyDescent="0.2">
      <c r="A6" s="656" t="s">
        <v>257</v>
      </c>
      <c r="B6" s="6"/>
      <c r="C6" s="6"/>
      <c r="D6" s="638">
        <f>+'podatki analize'!I33</f>
        <v>1141.1066172924584</v>
      </c>
      <c r="E6" s="38" t="s">
        <v>258</v>
      </c>
      <c r="F6" s="3"/>
      <c r="G6" s="3"/>
      <c r="H6" s="3"/>
      <c r="I6" s="3"/>
      <c r="J6" s="3"/>
      <c r="K6" s="3"/>
      <c r="L6" s="3"/>
    </row>
    <row r="7" spans="1:12" x14ac:dyDescent="0.2">
      <c r="A7" s="6" t="s">
        <v>259</v>
      </c>
      <c r="B7" s="6"/>
      <c r="C7" s="6"/>
      <c r="D7" s="639">
        <f>NPV('podatki analize'!E35,B13:B27)-B12</f>
        <v>23055.020242999803</v>
      </c>
      <c r="E7" s="38" t="s">
        <v>260</v>
      </c>
    </row>
    <row r="8" spans="1:12" x14ac:dyDescent="0.2">
      <c r="A8" s="6" t="s">
        <v>261</v>
      </c>
      <c r="B8" s="6"/>
      <c r="C8" s="6"/>
      <c r="D8" s="639">
        <f>NPV('podatki analize'!E35,F13:F27)+F12</f>
        <v>6537.2654724683398</v>
      </c>
      <c r="E8" s="38" t="s">
        <v>260</v>
      </c>
    </row>
    <row r="9" spans="1:12" x14ac:dyDescent="0.2">
      <c r="A9" s="6" t="s">
        <v>262</v>
      </c>
      <c r="B9" s="6"/>
      <c r="C9" s="6"/>
      <c r="D9" s="640">
        <f>IRR(F12:F27,0.01)</f>
        <v>0.16732461263797216</v>
      </c>
      <c r="E9" s="6"/>
    </row>
    <row r="11" spans="1:12" ht="50.25" customHeight="1" x14ac:dyDescent="0.2">
      <c r="A11" s="641" t="s">
        <v>263</v>
      </c>
      <c r="B11" s="641" t="s">
        <v>264</v>
      </c>
      <c r="C11" s="641" t="s">
        <v>265</v>
      </c>
      <c r="D11" s="641"/>
      <c r="E11" s="641" t="s">
        <v>263</v>
      </c>
      <c r="F11" s="641" t="s">
        <v>264</v>
      </c>
      <c r="G11" s="641" t="s">
        <v>261</v>
      </c>
      <c r="H11" s="653" t="s">
        <v>267</v>
      </c>
      <c r="J11" s="651"/>
      <c r="K11" s="651"/>
      <c r="L11" s="651"/>
    </row>
    <row r="12" spans="1:12" x14ac:dyDescent="0.2">
      <c r="A12" s="39">
        <v>0</v>
      </c>
      <c r="B12" s="654">
        <f>-'podatki analize'!I27</f>
        <v>-6150</v>
      </c>
      <c r="C12" s="654">
        <f>+'podatki analize'!I32</f>
        <v>1520.4561224489798</v>
      </c>
      <c r="D12" s="39"/>
      <c r="E12" s="39">
        <v>0</v>
      </c>
      <c r="F12" s="654">
        <f>B12</f>
        <v>-6150</v>
      </c>
      <c r="G12" s="654">
        <f>F12</f>
        <v>-6150</v>
      </c>
      <c r="H12" s="654">
        <f>+'podatki analize'!I33</f>
        <v>1141.1066172924584</v>
      </c>
      <c r="J12" s="646"/>
      <c r="K12" s="646"/>
    </row>
    <row r="13" spans="1:12" x14ac:dyDescent="0.2">
      <c r="A13" s="39">
        <v>1</v>
      </c>
      <c r="B13" s="647">
        <f>C12</f>
        <v>1520.4561224489798</v>
      </c>
      <c r="C13" s="39"/>
      <c r="D13" s="39"/>
      <c r="E13" s="39">
        <v>1</v>
      </c>
      <c r="F13" s="647">
        <f>H12</f>
        <v>1141.1066172924584</v>
      </c>
      <c r="G13" s="647">
        <f t="shared" ref="G13:G27" si="0">G12+F13</f>
        <v>-5008.8933827075416</v>
      </c>
      <c r="H13" s="39"/>
    </row>
    <row r="14" spans="1:12" x14ac:dyDescent="0.2">
      <c r="A14" s="39">
        <v>2</v>
      </c>
      <c r="B14" s="647">
        <f t="shared" ref="B14:B27" si="1">B13</f>
        <v>1520.4561224489798</v>
      </c>
      <c r="C14" s="39"/>
      <c r="D14" s="39"/>
      <c r="E14" s="39">
        <v>2</v>
      </c>
      <c r="F14" s="647">
        <f t="shared" ref="F14:F27" si="2">F13</f>
        <v>1141.1066172924584</v>
      </c>
      <c r="G14" s="647">
        <f t="shared" si="0"/>
        <v>-3867.7867654150832</v>
      </c>
      <c r="H14" s="39"/>
    </row>
    <row r="15" spans="1:12" x14ac:dyDescent="0.2">
      <c r="A15" s="39">
        <v>3</v>
      </c>
      <c r="B15" s="647">
        <f t="shared" si="1"/>
        <v>1520.4561224489798</v>
      </c>
      <c r="C15" s="39"/>
      <c r="D15" s="39"/>
      <c r="E15" s="39">
        <v>3</v>
      </c>
      <c r="F15" s="647">
        <f t="shared" si="2"/>
        <v>1141.1066172924584</v>
      </c>
      <c r="G15" s="647">
        <f t="shared" si="0"/>
        <v>-2726.6801481226248</v>
      </c>
      <c r="H15" s="39"/>
      <c r="J15" s="646"/>
      <c r="K15" s="646"/>
    </row>
    <row r="16" spans="1:12" x14ac:dyDescent="0.2">
      <c r="A16" s="39">
        <v>4</v>
      </c>
      <c r="B16" s="647">
        <f t="shared" si="1"/>
        <v>1520.4561224489798</v>
      </c>
      <c r="C16" s="39"/>
      <c r="D16" s="39"/>
      <c r="E16" s="39">
        <v>4</v>
      </c>
      <c r="F16" s="647">
        <f t="shared" si="2"/>
        <v>1141.1066172924584</v>
      </c>
      <c r="G16" s="647">
        <f t="shared" si="0"/>
        <v>-1585.5735308301664</v>
      </c>
      <c r="H16" s="39"/>
    </row>
    <row r="17" spans="1:8" x14ac:dyDescent="0.2">
      <c r="A17" s="39">
        <v>5</v>
      </c>
      <c r="B17" s="647">
        <f t="shared" si="1"/>
        <v>1520.4561224489798</v>
      </c>
      <c r="C17" s="39"/>
      <c r="D17" s="39"/>
      <c r="E17" s="39">
        <v>5</v>
      </c>
      <c r="F17" s="647">
        <f t="shared" si="2"/>
        <v>1141.1066172924584</v>
      </c>
      <c r="G17" s="647">
        <f t="shared" si="0"/>
        <v>-444.46691353770802</v>
      </c>
      <c r="H17" s="39"/>
    </row>
    <row r="18" spans="1:8" x14ac:dyDescent="0.2">
      <c r="A18" s="39">
        <v>6</v>
      </c>
      <c r="B18" s="647">
        <f t="shared" si="1"/>
        <v>1520.4561224489798</v>
      </c>
      <c r="C18" s="39"/>
      <c r="D18" s="39"/>
      <c r="E18" s="39">
        <v>6</v>
      </c>
      <c r="F18" s="647">
        <f t="shared" si="2"/>
        <v>1141.1066172924584</v>
      </c>
      <c r="G18" s="647">
        <f t="shared" si="0"/>
        <v>696.63970375475037</v>
      </c>
      <c r="H18" s="39"/>
    </row>
    <row r="19" spans="1:8" x14ac:dyDescent="0.2">
      <c r="A19" s="39">
        <v>7</v>
      </c>
      <c r="B19" s="647">
        <f t="shared" si="1"/>
        <v>1520.4561224489798</v>
      </c>
      <c r="C19" s="39"/>
      <c r="D19" s="39"/>
      <c r="E19" s="39">
        <v>7</v>
      </c>
      <c r="F19" s="647">
        <f t="shared" si="2"/>
        <v>1141.1066172924584</v>
      </c>
      <c r="G19" s="647">
        <f t="shared" si="0"/>
        <v>1837.7463210472088</v>
      </c>
      <c r="H19" s="39"/>
    </row>
    <row r="20" spans="1:8" x14ac:dyDescent="0.2">
      <c r="A20" s="39">
        <v>8</v>
      </c>
      <c r="B20" s="647">
        <f t="shared" si="1"/>
        <v>1520.4561224489798</v>
      </c>
      <c r="C20" s="39"/>
      <c r="D20" s="39"/>
      <c r="E20" s="39">
        <v>8</v>
      </c>
      <c r="F20" s="647">
        <f t="shared" si="2"/>
        <v>1141.1066172924584</v>
      </c>
      <c r="G20" s="647">
        <f t="shared" si="0"/>
        <v>2978.8529383396672</v>
      </c>
      <c r="H20" s="39"/>
    </row>
    <row r="21" spans="1:8" x14ac:dyDescent="0.2">
      <c r="A21" s="39">
        <v>9</v>
      </c>
      <c r="B21" s="647">
        <f t="shared" si="1"/>
        <v>1520.4561224489798</v>
      </c>
      <c r="C21" s="39"/>
      <c r="D21" s="39"/>
      <c r="E21" s="39">
        <v>9</v>
      </c>
      <c r="F21" s="647">
        <f t="shared" si="2"/>
        <v>1141.1066172924584</v>
      </c>
      <c r="G21" s="647">
        <f t="shared" si="0"/>
        <v>4119.9595556321256</v>
      </c>
      <c r="H21" s="39"/>
    </row>
    <row r="22" spans="1:8" x14ac:dyDescent="0.2">
      <c r="A22" s="39">
        <v>10</v>
      </c>
      <c r="B22" s="647">
        <f t="shared" si="1"/>
        <v>1520.4561224489798</v>
      </c>
      <c r="C22" s="39"/>
      <c r="D22" s="39"/>
      <c r="E22" s="39">
        <v>10</v>
      </c>
      <c r="F22" s="647">
        <f t="shared" si="2"/>
        <v>1141.1066172924584</v>
      </c>
      <c r="G22" s="647">
        <f t="shared" si="0"/>
        <v>5261.066172924584</v>
      </c>
      <c r="H22" s="39"/>
    </row>
    <row r="23" spans="1:8" x14ac:dyDescent="0.2">
      <c r="A23" s="39">
        <v>11</v>
      </c>
      <c r="B23" s="647">
        <f t="shared" si="1"/>
        <v>1520.4561224489798</v>
      </c>
      <c r="C23" s="39"/>
      <c r="D23" s="39"/>
      <c r="E23" s="39">
        <v>11</v>
      </c>
      <c r="F23" s="647">
        <f t="shared" si="2"/>
        <v>1141.1066172924584</v>
      </c>
      <c r="G23" s="647">
        <f t="shared" si="0"/>
        <v>6402.1727902170423</v>
      </c>
      <c r="H23" s="39"/>
    </row>
    <row r="24" spans="1:8" x14ac:dyDescent="0.2">
      <c r="A24" s="39">
        <v>12</v>
      </c>
      <c r="B24" s="647">
        <f t="shared" si="1"/>
        <v>1520.4561224489798</v>
      </c>
      <c r="C24" s="39"/>
      <c r="D24" s="39"/>
      <c r="E24" s="39">
        <v>12</v>
      </c>
      <c r="F24" s="647">
        <f t="shared" si="2"/>
        <v>1141.1066172924584</v>
      </c>
      <c r="G24" s="647">
        <f t="shared" si="0"/>
        <v>7543.2794075095007</v>
      </c>
      <c r="H24" s="39"/>
    </row>
    <row r="25" spans="1:8" x14ac:dyDescent="0.2">
      <c r="A25" s="39">
        <v>13</v>
      </c>
      <c r="B25" s="647">
        <f t="shared" si="1"/>
        <v>1520.4561224489798</v>
      </c>
      <c r="C25" s="39"/>
      <c r="D25" s="39"/>
      <c r="E25" s="39">
        <v>13</v>
      </c>
      <c r="F25" s="647">
        <f t="shared" si="2"/>
        <v>1141.1066172924584</v>
      </c>
      <c r="G25" s="647">
        <f t="shared" si="0"/>
        <v>8684.3860248019591</v>
      </c>
      <c r="H25" s="39"/>
    </row>
    <row r="26" spans="1:8" x14ac:dyDescent="0.2">
      <c r="A26" s="39">
        <v>14</v>
      </c>
      <c r="B26" s="647">
        <f t="shared" si="1"/>
        <v>1520.4561224489798</v>
      </c>
      <c r="C26" s="39"/>
      <c r="D26" s="39"/>
      <c r="E26" s="39">
        <v>14</v>
      </c>
      <c r="F26" s="647">
        <f t="shared" si="2"/>
        <v>1141.1066172924584</v>
      </c>
      <c r="G26" s="647">
        <f t="shared" si="0"/>
        <v>9825.4926420944175</v>
      </c>
      <c r="H26" s="39"/>
    </row>
    <row r="27" spans="1:8" x14ac:dyDescent="0.2">
      <c r="A27" s="39">
        <v>15</v>
      </c>
      <c r="B27" s="647">
        <f t="shared" si="1"/>
        <v>1520.4561224489798</v>
      </c>
      <c r="C27" s="39"/>
      <c r="D27" s="39"/>
      <c r="E27" s="39">
        <v>15</v>
      </c>
      <c r="F27" s="647">
        <f t="shared" si="2"/>
        <v>1141.1066172924584</v>
      </c>
      <c r="G27" s="647">
        <f t="shared" si="0"/>
        <v>10966.599259386876</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39"/>
      <c r="B32" s="647"/>
      <c r="C32" s="39"/>
      <c r="D32" s="39"/>
      <c r="E32" s="39"/>
      <c r="F32" s="647"/>
      <c r="G32" s="647"/>
      <c r="H32" s="39"/>
    </row>
    <row r="33" spans="1:8" x14ac:dyDescent="0.2">
      <c r="A33" s="39"/>
      <c r="B33" s="39"/>
      <c r="C33" s="39"/>
      <c r="D33" s="39"/>
      <c r="E33" s="39"/>
      <c r="F33" s="39"/>
      <c r="G33" s="39"/>
      <c r="H33" s="39"/>
    </row>
  </sheetData>
  <mergeCells count="2">
    <mergeCell ref="A2:H2"/>
    <mergeCell ref="A4:F4"/>
  </mergeCells>
  <pageMargins left="0.7" right="0.7" top="0.75" bottom="0.75" header="0.3" footer="0.3"/>
  <pageSetup paperSize="9" scale="94" orientation="portrait" r:id="rId1"/>
  <headerFooter alignWithMargins="0"/>
  <colBreaks count="1" manualBreakCount="1">
    <brk id="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A3" sqref="A3"/>
    </sheetView>
  </sheetViews>
  <sheetFormatPr defaultRowHeight="12.75" x14ac:dyDescent="0.2"/>
  <cols>
    <col min="1" max="1" width="11.140625" customWidth="1"/>
    <col min="3" max="3" width="10.85546875" customWidth="1"/>
    <col min="6" max="6" width="10.140625" customWidth="1"/>
    <col min="7" max="7" width="11.28515625" customWidth="1"/>
    <col min="8" max="8" width="16.42578125" customWidth="1"/>
  </cols>
  <sheetData>
    <row r="2" spans="1:12" x14ac:dyDescent="0.2">
      <c r="A2" s="802" t="s">
        <v>255</v>
      </c>
      <c r="B2" s="802"/>
      <c r="C2" s="802"/>
      <c r="D2" s="802"/>
      <c r="E2" s="802"/>
      <c r="F2" s="802"/>
      <c r="G2" s="802"/>
      <c r="H2" s="802"/>
    </row>
    <row r="3" spans="1:12" x14ac:dyDescent="0.2">
      <c r="A3" s="655"/>
      <c r="B3" s="623"/>
      <c r="C3" s="623"/>
      <c r="D3" s="623"/>
      <c r="E3" s="623"/>
      <c r="F3" s="623"/>
      <c r="G3" s="623"/>
      <c r="H3" s="623"/>
    </row>
    <row r="4" spans="1:12" x14ac:dyDescent="0.2">
      <c r="A4" s="802" t="s">
        <v>273</v>
      </c>
      <c r="B4" s="802"/>
      <c r="C4" s="802"/>
      <c r="D4" s="802"/>
      <c r="E4" s="802"/>
      <c r="F4" s="802"/>
      <c r="G4" s="636"/>
      <c r="H4" s="623"/>
    </row>
    <row r="5" spans="1:12" x14ac:dyDescent="0.2">
      <c r="A5" s="3"/>
    </row>
    <row r="6" spans="1:12" x14ac:dyDescent="0.2">
      <c r="A6" s="656" t="s">
        <v>257</v>
      </c>
      <c r="B6" s="6"/>
      <c r="C6" s="6"/>
      <c r="D6" s="638">
        <f>'podatki analize'!J27/'podatki analize'!J33</f>
        <v>6.6964437517898965</v>
      </c>
      <c r="E6" s="38" t="s">
        <v>258</v>
      </c>
      <c r="F6" s="3"/>
      <c r="G6" s="3"/>
      <c r="H6" s="3"/>
      <c r="I6" s="3"/>
      <c r="J6" s="3"/>
      <c r="K6" s="3"/>
      <c r="L6" s="3"/>
    </row>
    <row r="7" spans="1:12" x14ac:dyDescent="0.2">
      <c r="A7" s="6" t="s">
        <v>259</v>
      </c>
      <c r="B7" s="6"/>
      <c r="C7" s="6"/>
      <c r="D7" s="639">
        <f>NPV('podatki analize'!E35,B13:B27)-B12</f>
        <v>21932.317440713832</v>
      </c>
      <c r="E7" s="38" t="s">
        <v>260</v>
      </c>
    </row>
    <row r="8" spans="1:12" x14ac:dyDescent="0.2">
      <c r="A8" s="6" t="s">
        <v>261</v>
      </c>
      <c r="B8" s="6"/>
      <c r="C8" s="6"/>
      <c r="D8" s="639">
        <f>NPV('podatki analize'!E35,F13:F27)+F12</f>
        <v>7659.968274754312</v>
      </c>
      <c r="E8" s="38" t="s">
        <v>260</v>
      </c>
    </row>
    <row r="9" spans="1:12" x14ac:dyDescent="0.2">
      <c r="A9" s="6" t="s">
        <v>262</v>
      </c>
      <c r="B9" s="6"/>
      <c r="C9" s="6"/>
      <c r="D9" s="640">
        <f>IRR(F12:F27,0.01)</f>
        <v>0.12318981360499115</v>
      </c>
      <c r="E9" s="6"/>
    </row>
    <row r="11" spans="1:12" ht="50.25" customHeight="1" x14ac:dyDescent="0.2">
      <c r="A11" s="641" t="s">
        <v>263</v>
      </c>
      <c r="B11" s="641" t="s">
        <v>264</v>
      </c>
      <c r="C11" s="641" t="s">
        <v>265</v>
      </c>
      <c r="D11" s="641"/>
      <c r="E11" s="641" t="s">
        <v>263</v>
      </c>
      <c r="F11" s="641" t="s">
        <v>264</v>
      </c>
      <c r="G11" s="641" t="s">
        <v>261</v>
      </c>
      <c r="H11" s="653" t="s">
        <v>267</v>
      </c>
      <c r="J11" s="651"/>
      <c r="K11" s="651"/>
      <c r="L11" s="651"/>
    </row>
    <row r="12" spans="1:12" x14ac:dyDescent="0.2">
      <c r="A12" s="39">
        <v>0</v>
      </c>
      <c r="B12" s="654">
        <f>-'podatki analize'!J27</f>
        <v>-11600</v>
      </c>
      <c r="C12" s="654">
        <f>'podatki analize'!J32</f>
        <v>929.30000000000007</v>
      </c>
      <c r="D12" s="39"/>
      <c r="E12" s="39">
        <v>0</v>
      </c>
      <c r="F12" s="654">
        <f>B12</f>
        <v>-11600</v>
      </c>
      <c r="G12" s="654">
        <f>F12</f>
        <v>-11600</v>
      </c>
      <c r="H12" s="654">
        <f>'podatki analize'!J33</f>
        <v>1732.2627397414381</v>
      </c>
      <c r="J12" s="646"/>
      <c r="K12" s="646"/>
    </row>
    <row r="13" spans="1:12" x14ac:dyDescent="0.2">
      <c r="A13" s="39">
        <v>1</v>
      </c>
      <c r="B13" s="647">
        <f>C12</f>
        <v>929.30000000000007</v>
      </c>
      <c r="C13" s="39"/>
      <c r="D13" s="39"/>
      <c r="E13" s="39">
        <v>1</v>
      </c>
      <c r="F13" s="647">
        <f>H12</f>
        <v>1732.2627397414381</v>
      </c>
      <c r="G13" s="647">
        <f t="shared" ref="G13:G27" si="0">G12+F13</f>
        <v>-9867.7372602585619</v>
      </c>
      <c r="H13" s="39"/>
    </row>
    <row r="14" spans="1:12" x14ac:dyDescent="0.2">
      <c r="A14" s="39">
        <v>2</v>
      </c>
      <c r="B14" s="647">
        <f t="shared" ref="B14:B27" si="1">B13</f>
        <v>929.30000000000007</v>
      </c>
      <c r="C14" s="39"/>
      <c r="D14" s="39"/>
      <c r="E14" s="39">
        <v>2</v>
      </c>
      <c r="F14" s="647">
        <f t="shared" ref="F14:F27" si="2">F13</f>
        <v>1732.2627397414381</v>
      </c>
      <c r="G14" s="647">
        <f t="shared" si="0"/>
        <v>-8135.4745205171239</v>
      </c>
      <c r="H14" s="39"/>
    </row>
    <row r="15" spans="1:12" x14ac:dyDescent="0.2">
      <c r="A15" s="39">
        <v>3</v>
      </c>
      <c r="B15" s="647">
        <f t="shared" si="1"/>
        <v>929.30000000000007</v>
      </c>
      <c r="C15" s="39"/>
      <c r="D15" s="39"/>
      <c r="E15" s="39">
        <v>3</v>
      </c>
      <c r="F15" s="647">
        <f t="shared" si="2"/>
        <v>1732.2627397414381</v>
      </c>
      <c r="G15" s="647">
        <f t="shared" si="0"/>
        <v>-6403.2117807756858</v>
      </c>
      <c r="H15" s="39"/>
      <c r="J15" s="646"/>
      <c r="K15" s="646"/>
    </row>
    <row r="16" spans="1:12" x14ac:dyDescent="0.2">
      <c r="A16" s="39">
        <v>4</v>
      </c>
      <c r="B16" s="647">
        <f t="shared" si="1"/>
        <v>929.30000000000007</v>
      </c>
      <c r="C16" s="39"/>
      <c r="D16" s="39"/>
      <c r="E16" s="39">
        <v>4</v>
      </c>
      <c r="F16" s="647">
        <f t="shared" si="2"/>
        <v>1732.2627397414381</v>
      </c>
      <c r="G16" s="647">
        <f t="shared" si="0"/>
        <v>-4670.9490410342478</v>
      </c>
      <c r="H16" s="39"/>
    </row>
    <row r="17" spans="1:8" x14ac:dyDescent="0.2">
      <c r="A17" s="39">
        <v>5</v>
      </c>
      <c r="B17" s="647">
        <f t="shared" si="1"/>
        <v>929.30000000000007</v>
      </c>
      <c r="C17" s="39"/>
      <c r="D17" s="39"/>
      <c r="E17" s="39">
        <v>5</v>
      </c>
      <c r="F17" s="647">
        <f t="shared" si="2"/>
        <v>1732.2627397414381</v>
      </c>
      <c r="G17" s="647">
        <f t="shared" si="0"/>
        <v>-2938.6863012928097</v>
      </c>
      <c r="H17" s="39"/>
    </row>
    <row r="18" spans="1:8" x14ac:dyDescent="0.2">
      <c r="A18" s="39">
        <v>6</v>
      </c>
      <c r="B18" s="647">
        <f t="shared" si="1"/>
        <v>929.30000000000007</v>
      </c>
      <c r="C18" s="39"/>
      <c r="D18" s="39"/>
      <c r="E18" s="39">
        <v>6</v>
      </c>
      <c r="F18" s="647">
        <f t="shared" si="2"/>
        <v>1732.2627397414381</v>
      </c>
      <c r="G18" s="647">
        <f t="shared" si="0"/>
        <v>-1206.4235615513717</v>
      </c>
      <c r="H18" s="39"/>
    </row>
    <row r="19" spans="1:8" x14ac:dyDescent="0.2">
      <c r="A19" s="39">
        <v>7</v>
      </c>
      <c r="B19" s="647">
        <f t="shared" si="1"/>
        <v>929.30000000000007</v>
      </c>
      <c r="C19" s="39"/>
      <c r="D19" s="39"/>
      <c r="E19" s="39">
        <v>7</v>
      </c>
      <c r="F19" s="647">
        <f t="shared" si="2"/>
        <v>1732.2627397414381</v>
      </c>
      <c r="G19" s="647">
        <f t="shared" si="0"/>
        <v>525.83917819006638</v>
      </c>
      <c r="H19" s="39"/>
    </row>
    <row r="20" spans="1:8" x14ac:dyDescent="0.2">
      <c r="A20" s="39">
        <v>8</v>
      </c>
      <c r="B20" s="647">
        <f t="shared" si="1"/>
        <v>929.30000000000007</v>
      </c>
      <c r="C20" s="39"/>
      <c r="D20" s="39"/>
      <c r="E20" s="39">
        <v>8</v>
      </c>
      <c r="F20" s="647">
        <f t="shared" si="2"/>
        <v>1732.2627397414381</v>
      </c>
      <c r="G20" s="647">
        <f t="shared" si="0"/>
        <v>2258.1019179315044</v>
      </c>
      <c r="H20" s="39"/>
    </row>
    <row r="21" spans="1:8" x14ac:dyDescent="0.2">
      <c r="A21" s="39">
        <v>9</v>
      </c>
      <c r="B21" s="647">
        <f t="shared" si="1"/>
        <v>929.30000000000007</v>
      </c>
      <c r="C21" s="39"/>
      <c r="D21" s="39"/>
      <c r="E21" s="39">
        <v>9</v>
      </c>
      <c r="F21" s="647">
        <f t="shared" si="2"/>
        <v>1732.2627397414381</v>
      </c>
      <c r="G21" s="647">
        <f t="shared" si="0"/>
        <v>3990.3646576729425</v>
      </c>
      <c r="H21" s="39"/>
    </row>
    <row r="22" spans="1:8" x14ac:dyDescent="0.2">
      <c r="A22" s="39">
        <v>10</v>
      </c>
      <c r="B22" s="647">
        <f t="shared" si="1"/>
        <v>929.30000000000007</v>
      </c>
      <c r="C22" s="39"/>
      <c r="D22" s="39"/>
      <c r="E22" s="39">
        <v>10</v>
      </c>
      <c r="F22" s="647">
        <f t="shared" si="2"/>
        <v>1732.2627397414381</v>
      </c>
      <c r="G22" s="647">
        <f t="shared" si="0"/>
        <v>5722.6273974143805</v>
      </c>
      <c r="H22" s="39"/>
    </row>
    <row r="23" spans="1:8" x14ac:dyDescent="0.2">
      <c r="A23" s="39">
        <v>11</v>
      </c>
      <c r="B23" s="647">
        <f t="shared" si="1"/>
        <v>929.30000000000007</v>
      </c>
      <c r="C23" s="39"/>
      <c r="D23" s="39"/>
      <c r="E23" s="39">
        <v>11</v>
      </c>
      <c r="F23" s="647">
        <f t="shared" si="2"/>
        <v>1732.2627397414381</v>
      </c>
      <c r="G23" s="647">
        <f t="shared" si="0"/>
        <v>7454.8901371558186</v>
      </c>
      <c r="H23" s="39"/>
    </row>
    <row r="24" spans="1:8" x14ac:dyDescent="0.2">
      <c r="A24" s="39">
        <v>12</v>
      </c>
      <c r="B24" s="647">
        <f t="shared" si="1"/>
        <v>929.30000000000007</v>
      </c>
      <c r="C24" s="39"/>
      <c r="D24" s="39"/>
      <c r="E24" s="39">
        <v>12</v>
      </c>
      <c r="F24" s="647">
        <f t="shared" si="2"/>
        <v>1732.2627397414381</v>
      </c>
      <c r="G24" s="647">
        <f t="shared" si="0"/>
        <v>9187.1528768972566</v>
      </c>
      <c r="H24" s="39"/>
    </row>
    <row r="25" spans="1:8" x14ac:dyDescent="0.2">
      <c r="A25" s="39">
        <v>13</v>
      </c>
      <c r="B25" s="647">
        <f t="shared" si="1"/>
        <v>929.30000000000007</v>
      </c>
      <c r="C25" s="39"/>
      <c r="D25" s="39"/>
      <c r="E25" s="39">
        <v>13</v>
      </c>
      <c r="F25" s="647">
        <f t="shared" si="2"/>
        <v>1732.2627397414381</v>
      </c>
      <c r="G25" s="647">
        <f t="shared" si="0"/>
        <v>10919.415616638695</v>
      </c>
      <c r="H25" s="39"/>
    </row>
    <row r="26" spans="1:8" x14ac:dyDescent="0.2">
      <c r="A26" s="39">
        <v>14</v>
      </c>
      <c r="B26" s="647">
        <f t="shared" si="1"/>
        <v>929.30000000000007</v>
      </c>
      <c r="C26" s="39"/>
      <c r="D26" s="39"/>
      <c r="E26" s="39">
        <v>14</v>
      </c>
      <c r="F26" s="647">
        <f t="shared" si="2"/>
        <v>1732.2627397414381</v>
      </c>
      <c r="G26" s="647">
        <f t="shared" si="0"/>
        <v>12651.678356380133</v>
      </c>
      <c r="H26" s="39"/>
    </row>
    <row r="27" spans="1:8" x14ac:dyDescent="0.2">
      <c r="A27" s="39">
        <v>15</v>
      </c>
      <c r="B27" s="647">
        <f t="shared" si="1"/>
        <v>929.30000000000007</v>
      </c>
      <c r="C27" s="39"/>
      <c r="D27" s="39"/>
      <c r="E27" s="39">
        <v>15</v>
      </c>
      <c r="F27" s="647">
        <f t="shared" si="2"/>
        <v>1732.2627397414381</v>
      </c>
      <c r="G27" s="647">
        <f t="shared" si="0"/>
        <v>14383.941096121571</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39"/>
      <c r="B32" s="647"/>
      <c r="C32" s="39"/>
      <c r="D32" s="39"/>
      <c r="E32" s="39"/>
      <c r="F32" s="647"/>
      <c r="G32" s="647"/>
      <c r="H32" s="39"/>
    </row>
    <row r="33" spans="1:8" x14ac:dyDescent="0.2">
      <c r="A33" s="39"/>
      <c r="B33" s="39"/>
      <c r="C33" s="39"/>
      <c r="D33" s="39"/>
      <c r="E33" s="39"/>
      <c r="F33" s="39"/>
      <c r="G33" s="39"/>
      <c r="H33" s="39"/>
    </row>
  </sheetData>
  <mergeCells count="2">
    <mergeCell ref="A2:H2"/>
    <mergeCell ref="A4:F4"/>
  </mergeCells>
  <pageMargins left="0.7" right="0.7" top="0.75" bottom="0.75" header="0.3" footer="0.3"/>
  <pageSetup paperSize="9" scale="94" orientation="portrait" r:id="rId1"/>
  <headerFooter alignWithMargins="0"/>
  <colBreaks count="1" manualBreakCount="1">
    <brk id="8"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topLeftCell="A3" workbookViewId="0">
      <selection activeCell="C12" sqref="C12"/>
    </sheetView>
  </sheetViews>
  <sheetFormatPr defaultRowHeight="12.75" x14ac:dyDescent="0.2"/>
  <cols>
    <col min="1" max="1" width="11.140625" customWidth="1"/>
    <col min="3" max="3" width="10.85546875" customWidth="1"/>
    <col min="6" max="6" width="10.140625" customWidth="1"/>
    <col min="7" max="7" width="11.28515625" customWidth="1"/>
    <col min="8" max="8" width="16.42578125" customWidth="1"/>
  </cols>
  <sheetData>
    <row r="2" spans="1:12" x14ac:dyDescent="0.2">
      <c r="A2" s="802" t="s">
        <v>255</v>
      </c>
      <c r="B2" s="802"/>
      <c r="C2" s="802"/>
      <c r="D2" s="802"/>
      <c r="E2" s="802"/>
      <c r="F2" s="802"/>
      <c r="G2" s="802"/>
      <c r="H2" s="802"/>
    </row>
    <row r="3" spans="1:12" x14ac:dyDescent="0.2">
      <c r="A3" s="655"/>
      <c r="B3" s="623"/>
      <c r="C3" s="623"/>
      <c r="D3" s="623"/>
      <c r="E3" s="623"/>
      <c r="F3" s="623"/>
      <c r="G3" s="623"/>
      <c r="H3" s="623"/>
    </row>
    <row r="4" spans="1:12" x14ac:dyDescent="0.2">
      <c r="A4" s="802" t="s">
        <v>288</v>
      </c>
      <c r="B4" s="802"/>
      <c r="C4" s="802"/>
      <c r="D4" s="802"/>
      <c r="E4" s="802"/>
      <c r="F4" s="802"/>
      <c r="G4" s="682"/>
      <c r="H4" s="623"/>
    </row>
    <row r="5" spans="1:12" x14ac:dyDescent="0.2">
      <c r="A5" s="3"/>
    </row>
    <row r="6" spans="1:12" x14ac:dyDescent="0.2">
      <c r="A6" s="656" t="s">
        <v>257</v>
      </c>
      <c r="B6" s="6"/>
      <c r="C6" s="6"/>
      <c r="D6" s="638">
        <f>'podatki analize'!K27/'podatki analize'!K33</f>
        <v>11.309470385149515</v>
      </c>
      <c r="E6" s="38" t="s">
        <v>258</v>
      </c>
      <c r="F6" s="3"/>
      <c r="G6" s="3"/>
      <c r="H6" s="3"/>
      <c r="I6" s="3"/>
      <c r="J6" s="3"/>
      <c r="K6" s="3"/>
      <c r="L6" s="3"/>
    </row>
    <row r="7" spans="1:12" x14ac:dyDescent="0.2">
      <c r="A7" s="6" t="s">
        <v>259</v>
      </c>
      <c r="B7" s="6"/>
      <c r="C7" s="6"/>
      <c r="D7" s="639">
        <f>NPV('podatki analize'!E35,B13:B27)-B12</f>
        <v>29930.202428583754</v>
      </c>
      <c r="E7" s="38" t="s">
        <v>260</v>
      </c>
    </row>
    <row r="8" spans="1:12" x14ac:dyDescent="0.2">
      <c r="A8" s="6" t="s">
        <v>261</v>
      </c>
      <c r="B8" s="6"/>
      <c r="C8" s="6"/>
      <c r="D8" s="639">
        <f>NPV('podatki analize'!E35,F13:F27)+F12</f>
        <v>-337.9167131156064</v>
      </c>
      <c r="E8" s="38" t="s">
        <v>260</v>
      </c>
    </row>
    <row r="9" spans="1:12" x14ac:dyDescent="0.2">
      <c r="A9" s="6" t="s">
        <v>262</v>
      </c>
      <c r="B9" s="6"/>
      <c r="C9" s="6"/>
      <c r="D9" s="640">
        <f>IRR(F12:F27,0.01)</f>
        <v>3.7573039190879509E-2</v>
      </c>
      <c r="E9" s="6"/>
    </row>
    <row r="11" spans="1:12" ht="50.25" customHeight="1" x14ac:dyDescent="0.2">
      <c r="A11" s="641" t="s">
        <v>263</v>
      </c>
      <c r="B11" s="641" t="s">
        <v>264</v>
      </c>
      <c r="C11" s="641" t="s">
        <v>265</v>
      </c>
      <c r="D11" s="641"/>
      <c r="E11" s="641" t="s">
        <v>263</v>
      </c>
      <c r="F11" s="641" t="s">
        <v>264</v>
      </c>
      <c r="G11" s="641" t="s">
        <v>261</v>
      </c>
      <c r="H11" s="653" t="s">
        <v>267</v>
      </c>
      <c r="J11" s="651"/>
      <c r="K11" s="651"/>
      <c r="L11" s="651"/>
    </row>
    <row r="12" spans="1:12" x14ac:dyDescent="0.2">
      <c r="A12" s="39">
        <v>0</v>
      </c>
      <c r="B12" s="654">
        <f>-'podatki analize'!K27</f>
        <v>-20000</v>
      </c>
      <c r="C12" s="654">
        <f>'podatki analize'!K32</f>
        <v>893.13333333333333</v>
      </c>
      <c r="D12" s="39"/>
      <c r="E12" s="39">
        <v>0</v>
      </c>
      <c r="F12" s="654">
        <f>B12</f>
        <v>-20000</v>
      </c>
      <c r="G12" s="654">
        <f>F12</f>
        <v>-20000</v>
      </c>
      <c r="H12" s="654">
        <f>'podatki analize'!K33</f>
        <v>1768.429406408105</v>
      </c>
      <c r="J12" s="646"/>
      <c r="K12" s="646"/>
    </row>
    <row r="13" spans="1:12" x14ac:dyDescent="0.2">
      <c r="A13" s="39">
        <v>1</v>
      </c>
      <c r="B13" s="647">
        <f>C12</f>
        <v>893.13333333333333</v>
      </c>
      <c r="C13" s="39"/>
      <c r="D13" s="39"/>
      <c r="E13" s="39">
        <v>1</v>
      </c>
      <c r="F13" s="647">
        <f>H12</f>
        <v>1768.429406408105</v>
      </c>
      <c r="G13" s="647">
        <f t="shared" ref="G13:G27" si="0">G12+F13</f>
        <v>-18231.570593591896</v>
      </c>
      <c r="H13" s="39"/>
    </row>
    <row r="14" spans="1:12" x14ac:dyDescent="0.2">
      <c r="A14" s="39">
        <v>2</v>
      </c>
      <c r="B14" s="647">
        <f t="shared" ref="B14:B27" si="1">B13</f>
        <v>893.13333333333333</v>
      </c>
      <c r="C14" s="39"/>
      <c r="D14" s="39"/>
      <c r="E14" s="39">
        <v>2</v>
      </c>
      <c r="F14" s="647">
        <f t="shared" ref="F14:F27" si="2">F13</f>
        <v>1768.429406408105</v>
      </c>
      <c r="G14" s="647">
        <f t="shared" si="0"/>
        <v>-16463.141187183792</v>
      </c>
      <c r="H14" s="39"/>
    </row>
    <row r="15" spans="1:12" x14ac:dyDescent="0.2">
      <c r="A15" s="39">
        <v>3</v>
      </c>
      <c r="B15" s="647">
        <f t="shared" si="1"/>
        <v>893.13333333333333</v>
      </c>
      <c r="C15" s="39"/>
      <c r="D15" s="39"/>
      <c r="E15" s="39">
        <v>3</v>
      </c>
      <c r="F15" s="647">
        <f t="shared" si="2"/>
        <v>1768.429406408105</v>
      </c>
      <c r="G15" s="647">
        <f t="shared" si="0"/>
        <v>-14694.711780775688</v>
      </c>
      <c r="H15" s="39"/>
      <c r="J15" s="646"/>
      <c r="K15" s="646"/>
    </row>
    <row r="16" spans="1:12" x14ac:dyDescent="0.2">
      <c r="A16" s="39">
        <v>4</v>
      </c>
      <c r="B16" s="647">
        <f t="shared" si="1"/>
        <v>893.13333333333333</v>
      </c>
      <c r="C16" s="39"/>
      <c r="D16" s="39"/>
      <c r="E16" s="39">
        <v>4</v>
      </c>
      <c r="F16" s="647">
        <f t="shared" si="2"/>
        <v>1768.429406408105</v>
      </c>
      <c r="G16" s="647">
        <f t="shared" si="0"/>
        <v>-12926.282374367584</v>
      </c>
      <c r="H16" s="39"/>
    </row>
    <row r="17" spans="1:8" x14ac:dyDescent="0.2">
      <c r="A17" s="39">
        <v>5</v>
      </c>
      <c r="B17" s="647">
        <f t="shared" si="1"/>
        <v>893.13333333333333</v>
      </c>
      <c r="C17" s="39"/>
      <c r="D17" s="39"/>
      <c r="E17" s="39">
        <v>5</v>
      </c>
      <c r="F17" s="647">
        <f t="shared" si="2"/>
        <v>1768.429406408105</v>
      </c>
      <c r="G17" s="647">
        <f t="shared" si="0"/>
        <v>-11157.852967959479</v>
      </c>
      <c r="H17" s="39"/>
    </row>
    <row r="18" spans="1:8" x14ac:dyDescent="0.2">
      <c r="A18" s="39">
        <v>6</v>
      </c>
      <c r="B18" s="647">
        <f t="shared" si="1"/>
        <v>893.13333333333333</v>
      </c>
      <c r="C18" s="39"/>
      <c r="D18" s="39"/>
      <c r="E18" s="39">
        <v>6</v>
      </c>
      <c r="F18" s="647">
        <f t="shared" si="2"/>
        <v>1768.429406408105</v>
      </c>
      <c r="G18" s="647">
        <f t="shared" si="0"/>
        <v>-9389.4235615513753</v>
      </c>
      <c r="H18" s="39"/>
    </row>
    <row r="19" spans="1:8" x14ac:dyDescent="0.2">
      <c r="A19" s="39">
        <v>7</v>
      </c>
      <c r="B19" s="647">
        <f t="shared" si="1"/>
        <v>893.13333333333333</v>
      </c>
      <c r="C19" s="39"/>
      <c r="D19" s="39"/>
      <c r="E19" s="39">
        <v>7</v>
      </c>
      <c r="F19" s="647">
        <f t="shared" si="2"/>
        <v>1768.429406408105</v>
      </c>
      <c r="G19" s="647">
        <f t="shared" si="0"/>
        <v>-7620.9941551432703</v>
      </c>
      <c r="H19" s="39"/>
    </row>
    <row r="20" spans="1:8" x14ac:dyDescent="0.2">
      <c r="A20" s="39">
        <v>8</v>
      </c>
      <c r="B20" s="647">
        <f t="shared" si="1"/>
        <v>893.13333333333333</v>
      </c>
      <c r="C20" s="39"/>
      <c r="D20" s="39"/>
      <c r="E20" s="39">
        <v>8</v>
      </c>
      <c r="F20" s="647">
        <f t="shared" si="2"/>
        <v>1768.429406408105</v>
      </c>
      <c r="G20" s="647">
        <f t="shared" si="0"/>
        <v>-5852.5647487351653</v>
      </c>
      <c r="H20" s="39"/>
    </row>
    <row r="21" spans="1:8" x14ac:dyDescent="0.2">
      <c r="A21" s="39">
        <v>9</v>
      </c>
      <c r="B21" s="647">
        <f t="shared" si="1"/>
        <v>893.13333333333333</v>
      </c>
      <c r="C21" s="39"/>
      <c r="D21" s="39"/>
      <c r="E21" s="39">
        <v>9</v>
      </c>
      <c r="F21" s="647">
        <f t="shared" si="2"/>
        <v>1768.429406408105</v>
      </c>
      <c r="G21" s="647">
        <f t="shared" si="0"/>
        <v>-4084.1353423270602</v>
      </c>
      <c r="H21" s="39"/>
    </row>
    <row r="22" spans="1:8" x14ac:dyDescent="0.2">
      <c r="A22" s="39">
        <v>10</v>
      </c>
      <c r="B22" s="647">
        <f t="shared" si="1"/>
        <v>893.13333333333333</v>
      </c>
      <c r="C22" s="39"/>
      <c r="D22" s="39"/>
      <c r="E22" s="39">
        <v>10</v>
      </c>
      <c r="F22" s="647">
        <f t="shared" si="2"/>
        <v>1768.429406408105</v>
      </c>
      <c r="G22" s="647">
        <f t="shared" si="0"/>
        <v>-2315.7059359189552</v>
      </c>
      <c r="H22" s="39"/>
    </row>
    <row r="23" spans="1:8" x14ac:dyDescent="0.2">
      <c r="A23" s="39">
        <v>11</v>
      </c>
      <c r="B23" s="647">
        <f t="shared" si="1"/>
        <v>893.13333333333333</v>
      </c>
      <c r="C23" s="39"/>
      <c r="D23" s="39"/>
      <c r="E23" s="39">
        <v>11</v>
      </c>
      <c r="F23" s="647">
        <f t="shared" si="2"/>
        <v>1768.429406408105</v>
      </c>
      <c r="G23" s="647">
        <f t="shared" si="0"/>
        <v>-547.2765295108502</v>
      </c>
      <c r="H23" s="39"/>
    </row>
    <row r="24" spans="1:8" x14ac:dyDescent="0.2">
      <c r="A24" s="39">
        <v>12</v>
      </c>
      <c r="B24" s="647">
        <f t="shared" si="1"/>
        <v>893.13333333333333</v>
      </c>
      <c r="C24" s="39"/>
      <c r="D24" s="39"/>
      <c r="E24" s="39">
        <v>12</v>
      </c>
      <c r="F24" s="647">
        <f t="shared" si="2"/>
        <v>1768.429406408105</v>
      </c>
      <c r="G24" s="647">
        <f t="shared" si="0"/>
        <v>1221.1528768972548</v>
      </c>
      <c r="H24" s="39"/>
    </row>
    <row r="25" spans="1:8" x14ac:dyDescent="0.2">
      <c r="A25" s="39">
        <v>13</v>
      </c>
      <c r="B25" s="647">
        <f t="shared" si="1"/>
        <v>893.13333333333333</v>
      </c>
      <c r="C25" s="39"/>
      <c r="D25" s="39"/>
      <c r="E25" s="39">
        <v>13</v>
      </c>
      <c r="F25" s="647">
        <f t="shared" si="2"/>
        <v>1768.429406408105</v>
      </c>
      <c r="G25" s="647">
        <f t="shared" si="0"/>
        <v>2989.5822833053599</v>
      </c>
      <c r="H25" s="39"/>
    </row>
    <row r="26" spans="1:8" x14ac:dyDescent="0.2">
      <c r="A26" s="39">
        <v>14</v>
      </c>
      <c r="B26" s="647">
        <f t="shared" si="1"/>
        <v>893.13333333333333</v>
      </c>
      <c r="C26" s="39"/>
      <c r="D26" s="39"/>
      <c r="E26" s="39">
        <v>14</v>
      </c>
      <c r="F26" s="647">
        <f t="shared" si="2"/>
        <v>1768.429406408105</v>
      </c>
      <c r="G26" s="647">
        <f t="shared" si="0"/>
        <v>4758.0116897134649</v>
      </c>
      <c r="H26" s="39"/>
    </row>
    <row r="27" spans="1:8" x14ac:dyDescent="0.2">
      <c r="A27" s="39">
        <v>15</v>
      </c>
      <c r="B27" s="647">
        <f t="shared" si="1"/>
        <v>893.13333333333333</v>
      </c>
      <c r="C27" s="39"/>
      <c r="D27" s="39"/>
      <c r="E27" s="39">
        <v>15</v>
      </c>
      <c r="F27" s="647">
        <f t="shared" si="2"/>
        <v>1768.429406408105</v>
      </c>
      <c r="G27" s="647">
        <f t="shared" si="0"/>
        <v>6526.4410961215699</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39"/>
      <c r="B32" s="647"/>
      <c r="C32" s="39"/>
      <c r="D32" s="39"/>
      <c r="E32" s="39"/>
      <c r="F32" s="647"/>
      <c r="G32" s="647"/>
      <c r="H32" s="39"/>
    </row>
    <row r="33" spans="1:8" x14ac:dyDescent="0.2">
      <c r="A33" s="39"/>
      <c r="B33" s="39"/>
      <c r="C33" s="39"/>
      <c r="D33" s="39"/>
      <c r="E33" s="39"/>
      <c r="F33" s="39"/>
      <c r="G33" s="39"/>
      <c r="H33" s="39"/>
    </row>
  </sheetData>
  <mergeCells count="2">
    <mergeCell ref="A2:H2"/>
    <mergeCell ref="A4:F4"/>
  </mergeCells>
  <pageMargins left="0.7" right="0.7" top="0.75" bottom="0.75" header="0.3" footer="0.3"/>
  <pageSetup paperSize="9" scale="94" orientation="portrait" r:id="rId1"/>
  <headerFooter alignWithMargins="0"/>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D7" sqref="D7"/>
    </sheetView>
  </sheetViews>
  <sheetFormatPr defaultRowHeight="12.75" x14ac:dyDescent="0.2"/>
  <cols>
    <col min="1" max="1" width="11.140625" customWidth="1"/>
    <col min="3" max="3" width="10.85546875" customWidth="1"/>
    <col min="6" max="6" width="10.140625" customWidth="1"/>
    <col min="7" max="7" width="11.28515625" customWidth="1"/>
    <col min="8" max="8" width="16.42578125" customWidth="1"/>
  </cols>
  <sheetData>
    <row r="2" spans="1:12" x14ac:dyDescent="0.2">
      <c r="A2" s="802" t="s">
        <v>255</v>
      </c>
      <c r="B2" s="802"/>
      <c r="C2" s="802"/>
      <c r="D2" s="802"/>
      <c r="E2" s="802"/>
      <c r="F2" s="802"/>
      <c r="G2" s="802"/>
      <c r="H2" s="802"/>
    </row>
    <row r="3" spans="1:12" x14ac:dyDescent="0.2">
      <c r="A3" s="655"/>
      <c r="B3" s="623"/>
      <c r="C3" s="623"/>
      <c r="D3" s="623"/>
      <c r="E3" s="623"/>
      <c r="F3" s="623"/>
      <c r="G3" s="623"/>
      <c r="H3" s="623"/>
    </row>
    <row r="4" spans="1:12" x14ac:dyDescent="0.2">
      <c r="A4" s="802" t="s">
        <v>289</v>
      </c>
      <c r="B4" s="802"/>
      <c r="C4" s="802"/>
      <c r="D4" s="802"/>
      <c r="E4" s="802"/>
      <c r="F4" s="802"/>
      <c r="G4" s="682"/>
      <c r="H4" s="623"/>
    </row>
    <row r="5" spans="1:12" x14ac:dyDescent="0.2">
      <c r="A5" s="3"/>
    </row>
    <row r="6" spans="1:12" x14ac:dyDescent="0.2">
      <c r="A6" s="656" t="s">
        <v>257</v>
      </c>
      <c r="B6" s="6"/>
      <c r="C6" s="6"/>
      <c r="D6" s="638">
        <f>'podatki analize'!L27/'podatki analize'!L33</f>
        <v>3.7040976340373017</v>
      </c>
      <c r="E6" s="38" t="s">
        <v>258</v>
      </c>
      <c r="F6" s="3"/>
      <c r="G6" s="3"/>
      <c r="H6" s="3"/>
      <c r="I6" s="3"/>
      <c r="J6" s="3"/>
      <c r="K6" s="3"/>
      <c r="L6" s="3"/>
    </row>
    <row r="7" spans="1:12" x14ac:dyDescent="0.2">
      <c r="A7" s="6" t="s">
        <v>259</v>
      </c>
      <c r="B7" s="6"/>
      <c r="C7" s="6"/>
      <c r="D7" s="639">
        <f>NPV('podatki analize'!E35,B13:B27)-B12</f>
        <v>15780.93281348159</v>
      </c>
      <c r="E7" s="38" t="s">
        <v>260</v>
      </c>
    </row>
    <row r="8" spans="1:12" x14ac:dyDescent="0.2">
      <c r="A8" s="6" t="s">
        <v>261</v>
      </c>
      <c r="B8" s="6"/>
      <c r="C8" s="6"/>
      <c r="D8" s="639">
        <f>NPV('podatki analize'!E35,F13:F27)+F12</f>
        <v>13811.352901986564</v>
      </c>
      <c r="E8" s="38" t="s">
        <v>260</v>
      </c>
    </row>
    <row r="9" spans="1:12" x14ac:dyDescent="0.2">
      <c r="A9" s="6" t="s">
        <v>262</v>
      </c>
      <c r="B9" s="6"/>
      <c r="C9" s="6"/>
      <c r="D9" s="640">
        <f>IRR(F12:F27,0.01)</f>
        <v>0.26171259909640643</v>
      </c>
      <c r="E9" s="6"/>
    </row>
    <row r="11" spans="1:12" ht="50.25" customHeight="1" x14ac:dyDescent="0.2">
      <c r="A11" s="641" t="s">
        <v>263</v>
      </c>
      <c r="B11" s="641" t="s">
        <v>264</v>
      </c>
      <c r="C11" s="641" t="s">
        <v>265</v>
      </c>
      <c r="D11" s="641"/>
      <c r="E11" s="641" t="s">
        <v>263</v>
      </c>
      <c r="F11" s="641" t="s">
        <v>264</v>
      </c>
      <c r="G11" s="641" t="s">
        <v>261</v>
      </c>
      <c r="H11" s="653" t="s">
        <v>267</v>
      </c>
      <c r="J11" s="651"/>
      <c r="K11" s="651"/>
      <c r="L11" s="651"/>
    </row>
    <row r="12" spans="1:12" x14ac:dyDescent="0.2">
      <c r="A12" s="39">
        <v>0</v>
      </c>
      <c r="B12" s="654">
        <f>-'podatki analize'!L27</f>
        <v>-6900</v>
      </c>
      <c r="C12" s="654">
        <f>'podatki analize'!L32</f>
        <v>798.76086956521738</v>
      </c>
      <c r="D12" s="39"/>
      <c r="E12" s="39">
        <v>0</v>
      </c>
      <c r="F12" s="654">
        <f>B12</f>
        <v>-6900</v>
      </c>
      <c r="G12" s="654">
        <f>F12</f>
        <v>-6900</v>
      </c>
      <c r="H12" s="654">
        <f>'podatki analize'!L33</f>
        <v>1862.8018701762207</v>
      </c>
      <c r="J12" s="646"/>
      <c r="K12" s="646"/>
    </row>
    <row r="13" spans="1:12" x14ac:dyDescent="0.2">
      <c r="A13" s="39">
        <v>1</v>
      </c>
      <c r="B13" s="647">
        <f>C12</f>
        <v>798.76086956521738</v>
      </c>
      <c r="C13" s="39"/>
      <c r="D13" s="39"/>
      <c r="E13" s="39">
        <v>1</v>
      </c>
      <c r="F13" s="647">
        <f>H12</f>
        <v>1862.8018701762207</v>
      </c>
      <c r="G13" s="647">
        <f t="shared" ref="G13:G27" si="0">G12+F13</f>
        <v>-5037.1981298237788</v>
      </c>
      <c r="H13" s="39"/>
    </row>
    <row r="14" spans="1:12" x14ac:dyDescent="0.2">
      <c r="A14" s="39">
        <v>2</v>
      </c>
      <c r="B14" s="647">
        <f t="shared" ref="B14:B27" si="1">B13</f>
        <v>798.76086956521738</v>
      </c>
      <c r="C14" s="39"/>
      <c r="D14" s="39"/>
      <c r="E14" s="39">
        <v>2</v>
      </c>
      <c r="F14" s="647">
        <f t="shared" ref="F14:F27" si="2">F13</f>
        <v>1862.8018701762207</v>
      </c>
      <c r="G14" s="647">
        <f t="shared" si="0"/>
        <v>-3174.3962596475581</v>
      </c>
      <c r="H14" s="39"/>
    </row>
    <row r="15" spans="1:12" x14ac:dyDescent="0.2">
      <c r="A15" s="39">
        <v>3</v>
      </c>
      <c r="B15" s="647">
        <f t="shared" si="1"/>
        <v>798.76086956521738</v>
      </c>
      <c r="C15" s="39"/>
      <c r="D15" s="39"/>
      <c r="E15" s="39">
        <v>3</v>
      </c>
      <c r="F15" s="647">
        <f t="shared" si="2"/>
        <v>1862.8018701762207</v>
      </c>
      <c r="G15" s="647">
        <f t="shared" si="0"/>
        <v>-1311.5943894713373</v>
      </c>
      <c r="H15" s="39"/>
      <c r="J15" s="646"/>
      <c r="K15" s="646"/>
    </row>
    <row r="16" spans="1:12" x14ac:dyDescent="0.2">
      <c r="A16" s="39">
        <v>4</v>
      </c>
      <c r="B16" s="647">
        <f t="shared" si="1"/>
        <v>798.76086956521738</v>
      </c>
      <c r="C16" s="39"/>
      <c r="D16" s="39"/>
      <c r="E16" s="39">
        <v>4</v>
      </c>
      <c r="F16" s="647">
        <f t="shared" si="2"/>
        <v>1862.8018701762207</v>
      </c>
      <c r="G16" s="647">
        <f t="shared" si="0"/>
        <v>551.20748070488344</v>
      </c>
      <c r="H16" s="39"/>
    </row>
    <row r="17" spans="1:8" x14ac:dyDescent="0.2">
      <c r="A17" s="39">
        <v>5</v>
      </c>
      <c r="B17" s="647">
        <f t="shared" si="1"/>
        <v>798.76086956521738</v>
      </c>
      <c r="C17" s="39"/>
      <c r="D17" s="39"/>
      <c r="E17" s="39">
        <v>5</v>
      </c>
      <c r="F17" s="647">
        <f t="shared" si="2"/>
        <v>1862.8018701762207</v>
      </c>
      <c r="G17" s="647">
        <f t="shared" si="0"/>
        <v>2414.0093508811042</v>
      </c>
      <c r="H17" s="39"/>
    </row>
    <row r="18" spans="1:8" x14ac:dyDescent="0.2">
      <c r="A18" s="39">
        <v>6</v>
      </c>
      <c r="B18" s="647">
        <f t="shared" si="1"/>
        <v>798.76086956521738</v>
      </c>
      <c r="C18" s="39"/>
      <c r="D18" s="39"/>
      <c r="E18" s="39">
        <v>6</v>
      </c>
      <c r="F18" s="647">
        <f t="shared" si="2"/>
        <v>1862.8018701762207</v>
      </c>
      <c r="G18" s="647">
        <f t="shared" si="0"/>
        <v>4276.8112210573254</v>
      </c>
      <c r="H18" s="39"/>
    </row>
    <row r="19" spans="1:8" x14ac:dyDescent="0.2">
      <c r="A19" s="39">
        <v>7</v>
      </c>
      <c r="B19" s="647">
        <f t="shared" si="1"/>
        <v>798.76086956521738</v>
      </c>
      <c r="C19" s="39"/>
      <c r="D19" s="39"/>
      <c r="E19" s="39">
        <v>7</v>
      </c>
      <c r="F19" s="647">
        <f t="shared" si="2"/>
        <v>1862.8018701762207</v>
      </c>
      <c r="G19" s="647">
        <f t="shared" si="0"/>
        <v>6139.6130912335466</v>
      </c>
      <c r="H19" s="39"/>
    </row>
    <row r="20" spans="1:8" x14ac:dyDescent="0.2">
      <c r="A20" s="39">
        <v>8</v>
      </c>
      <c r="B20" s="647">
        <f t="shared" si="1"/>
        <v>798.76086956521738</v>
      </c>
      <c r="C20" s="39"/>
      <c r="D20" s="39"/>
      <c r="E20" s="39">
        <v>8</v>
      </c>
      <c r="F20" s="647">
        <f t="shared" si="2"/>
        <v>1862.8018701762207</v>
      </c>
      <c r="G20" s="647">
        <f t="shared" si="0"/>
        <v>8002.4149614097678</v>
      </c>
      <c r="H20" s="39"/>
    </row>
    <row r="21" spans="1:8" x14ac:dyDescent="0.2">
      <c r="A21" s="39">
        <v>9</v>
      </c>
      <c r="B21" s="647">
        <f t="shared" si="1"/>
        <v>798.76086956521738</v>
      </c>
      <c r="C21" s="39"/>
      <c r="D21" s="39"/>
      <c r="E21" s="39">
        <v>9</v>
      </c>
      <c r="F21" s="647">
        <f t="shared" si="2"/>
        <v>1862.8018701762207</v>
      </c>
      <c r="G21" s="647">
        <f t="shared" si="0"/>
        <v>9865.216831585989</v>
      </c>
      <c r="H21" s="39"/>
    </row>
    <row r="22" spans="1:8" x14ac:dyDescent="0.2">
      <c r="A22" s="39">
        <v>10</v>
      </c>
      <c r="B22" s="647">
        <f t="shared" si="1"/>
        <v>798.76086956521738</v>
      </c>
      <c r="C22" s="39"/>
      <c r="D22" s="39"/>
      <c r="E22" s="39">
        <v>10</v>
      </c>
      <c r="F22" s="647">
        <f t="shared" si="2"/>
        <v>1862.8018701762207</v>
      </c>
      <c r="G22" s="647">
        <f t="shared" si="0"/>
        <v>11728.01870176221</v>
      </c>
      <c r="H22" s="39"/>
    </row>
    <row r="23" spans="1:8" x14ac:dyDescent="0.2">
      <c r="A23" s="39">
        <v>11</v>
      </c>
      <c r="B23" s="647">
        <f t="shared" si="1"/>
        <v>798.76086956521738</v>
      </c>
      <c r="C23" s="39"/>
      <c r="D23" s="39"/>
      <c r="E23" s="39">
        <v>11</v>
      </c>
      <c r="F23" s="647">
        <f t="shared" si="2"/>
        <v>1862.8018701762207</v>
      </c>
      <c r="G23" s="647">
        <f t="shared" si="0"/>
        <v>13590.820571938431</v>
      </c>
      <c r="H23" s="39"/>
    </row>
    <row r="24" spans="1:8" x14ac:dyDescent="0.2">
      <c r="A24" s="39">
        <v>12</v>
      </c>
      <c r="B24" s="647">
        <f t="shared" si="1"/>
        <v>798.76086956521738</v>
      </c>
      <c r="C24" s="39"/>
      <c r="D24" s="39"/>
      <c r="E24" s="39">
        <v>12</v>
      </c>
      <c r="F24" s="647">
        <f t="shared" si="2"/>
        <v>1862.8018701762207</v>
      </c>
      <c r="G24" s="647">
        <f t="shared" si="0"/>
        <v>15453.622442114653</v>
      </c>
      <c r="H24" s="39"/>
    </row>
    <row r="25" spans="1:8" x14ac:dyDescent="0.2">
      <c r="A25" s="39">
        <v>13</v>
      </c>
      <c r="B25" s="647">
        <f t="shared" si="1"/>
        <v>798.76086956521738</v>
      </c>
      <c r="C25" s="39"/>
      <c r="D25" s="39"/>
      <c r="E25" s="39">
        <v>13</v>
      </c>
      <c r="F25" s="647">
        <f t="shared" si="2"/>
        <v>1862.8018701762207</v>
      </c>
      <c r="G25" s="647">
        <f t="shared" si="0"/>
        <v>17316.424312290874</v>
      </c>
      <c r="H25" s="39"/>
    </row>
    <row r="26" spans="1:8" x14ac:dyDescent="0.2">
      <c r="A26" s="39">
        <v>14</v>
      </c>
      <c r="B26" s="647">
        <f t="shared" si="1"/>
        <v>798.76086956521738</v>
      </c>
      <c r="C26" s="39"/>
      <c r="D26" s="39"/>
      <c r="E26" s="39">
        <v>14</v>
      </c>
      <c r="F26" s="647">
        <f t="shared" si="2"/>
        <v>1862.8018701762207</v>
      </c>
      <c r="G26" s="647">
        <f t="shared" si="0"/>
        <v>19179.226182467093</v>
      </c>
      <c r="H26" s="39"/>
    </row>
    <row r="27" spans="1:8" x14ac:dyDescent="0.2">
      <c r="A27" s="39">
        <v>15</v>
      </c>
      <c r="B27" s="647">
        <f t="shared" si="1"/>
        <v>798.76086956521738</v>
      </c>
      <c r="C27" s="39"/>
      <c r="D27" s="39"/>
      <c r="E27" s="39">
        <v>15</v>
      </c>
      <c r="F27" s="647">
        <f t="shared" si="2"/>
        <v>1862.8018701762207</v>
      </c>
      <c r="G27" s="647">
        <f t="shared" si="0"/>
        <v>21042.028052643313</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39"/>
      <c r="B32" s="647"/>
      <c r="C32" s="39"/>
      <c r="D32" s="39"/>
      <c r="E32" s="39"/>
      <c r="F32" s="647"/>
      <c r="G32" s="647"/>
      <c r="H32" s="39"/>
    </row>
    <row r="33" spans="1:8" x14ac:dyDescent="0.2">
      <c r="A33" s="39"/>
      <c r="B33" s="39"/>
      <c r="C33" s="39"/>
      <c r="D33" s="39"/>
      <c r="E33" s="39"/>
      <c r="F33" s="39"/>
      <c r="G33" s="39"/>
      <c r="H33" s="39"/>
    </row>
  </sheetData>
  <mergeCells count="2">
    <mergeCell ref="A2:H2"/>
    <mergeCell ref="A4:F4"/>
  </mergeCells>
  <pageMargins left="0.7" right="0.7" top="0.75" bottom="0.75" header="0.3" footer="0.3"/>
  <pageSetup paperSize="9" scale="94" orientation="portrait" r:id="rId1"/>
  <headerFooter alignWithMargins="0"/>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0"/>
  <sheetViews>
    <sheetView topLeftCell="D1" workbookViewId="0">
      <selection activeCell="L5" sqref="L5"/>
    </sheetView>
  </sheetViews>
  <sheetFormatPr defaultRowHeight="12.75" x14ac:dyDescent="0.2"/>
  <cols>
    <col min="1" max="1" width="5.42578125" customWidth="1"/>
    <col min="2" max="2" width="34.140625" customWidth="1"/>
    <col min="3" max="10" width="18" customWidth="1"/>
    <col min="11" max="12" width="12.5703125" bestFit="1" customWidth="1"/>
  </cols>
  <sheetData>
    <row r="2" spans="2:13" ht="18" x14ac:dyDescent="0.25">
      <c r="B2" s="657" t="s">
        <v>274</v>
      </c>
      <c r="C2" s="657"/>
      <c r="D2" s="658"/>
      <c r="E2" s="658"/>
      <c r="F2" s="658"/>
      <c r="G2" s="659"/>
      <c r="H2" s="659"/>
      <c r="I2" s="659"/>
    </row>
    <row r="4" spans="2:13" x14ac:dyDescent="0.2">
      <c r="B4" s="66"/>
      <c r="C4" s="660" t="str">
        <f>+'podatki analize'!C31</f>
        <v>Polena (bukev)</v>
      </c>
      <c r="D4" s="660" t="str">
        <f>+'podatki analize'!D31</f>
        <v>Polena (iglavci)</v>
      </c>
      <c r="E4" s="24" t="s">
        <v>275</v>
      </c>
      <c r="F4" s="661" t="s">
        <v>276</v>
      </c>
      <c r="G4" s="24" t="s">
        <v>72</v>
      </c>
      <c r="H4" s="24" t="s">
        <v>79</v>
      </c>
      <c r="I4" s="24" t="str">
        <f>+'podatki analize'!I26</f>
        <v>ZP</v>
      </c>
      <c r="J4" s="662" t="s">
        <v>95</v>
      </c>
      <c r="K4" s="662" t="s">
        <v>96</v>
      </c>
      <c r="L4" s="662" t="s">
        <v>97</v>
      </c>
      <c r="M4" s="663"/>
    </row>
    <row r="5" spans="2:13" x14ac:dyDescent="0.2">
      <c r="B5" s="24" t="s">
        <v>277</v>
      </c>
      <c r="C5" s="664">
        <f>rezultati!F24</f>
        <v>474.64283658264401</v>
      </c>
      <c r="D5" s="664">
        <f>rezultati!G24</f>
        <v>474.64283658264401</v>
      </c>
      <c r="E5" s="665">
        <f>rezultati!H24</f>
        <v>998.18161542400037</v>
      </c>
      <c r="F5" s="666">
        <f>rezultati!I24</f>
        <v>657.16602370901614</v>
      </c>
      <c r="G5" s="665">
        <f>rezultati!J24</f>
        <v>435.61524878601443</v>
      </c>
      <c r="H5" s="665">
        <f>rezultati!K24</f>
        <v>384.44696372186172</v>
      </c>
      <c r="I5" s="665">
        <f>rezultati!L24</f>
        <v>442.71042979417587</v>
      </c>
      <c r="J5" s="667">
        <f>+rezultati!M24</f>
        <v>777.67107093474999</v>
      </c>
      <c r="K5" s="667">
        <f>+rezultati!N24</f>
        <v>886.1168485165939</v>
      </c>
      <c r="L5" s="667">
        <f>+rezultati!O24</f>
        <v>418.8293366772856</v>
      </c>
      <c r="M5" s="668" t="s">
        <v>278</v>
      </c>
    </row>
    <row r="6" spans="2:13" x14ac:dyDescent="0.2">
      <c r="B6" s="24" t="s">
        <v>279</v>
      </c>
      <c r="C6" s="664">
        <f>rezultati!F30</f>
        <v>726.69980050722461</v>
      </c>
      <c r="D6" s="664">
        <f>rezultati!G30</f>
        <v>709.10722116884381</v>
      </c>
      <c r="E6" s="665">
        <f>rezultati!H30</f>
        <v>594.01099902234375</v>
      </c>
      <c r="F6" s="666">
        <f>rezultati!I30</f>
        <v>1201.7962375986383</v>
      </c>
      <c r="G6" s="665">
        <f>rezultati!J30</f>
        <v>1972.3376864655629</v>
      </c>
      <c r="H6" s="665">
        <f>rezultati!K30</f>
        <v>2705.3594301214207</v>
      </c>
      <c r="I6" s="665">
        <f>rezultati!L30</f>
        <v>1386.30612244898</v>
      </c>
      <c r="J6" s="667">
        <f>rezultati!M30</f>
        <v>715</v>
      </c>
      <c r="K6" s="667">
        <f>rezultati!N30</f>
        <v>672.33333333333326</v>
      </c>
      <c r="L6" s="667">
        <f>rezultati!O30</f>
        <v>626.26086956521738</v>
      </c>
      <c r="M6" s="668" t="s">
        <v>278</v>
      </c>
    </row>
    <row r="7" spans="2:13" x14ac:dyDescent="0.2">
      <c r="B7" s="24" t="s">
        <v>280</v>
      </c>
      <c r="C7" s="664">
        <f>rezultati!F39</f>
        <v>138.35</v>
      </c>
      <c r="D7" s="664">
        <f>rezultati!G39</f>
        <v>160.25</v>
      </c>
      <c r="E7" s="665">
        <f>rezultati!H39</f>
        <v>281.2</v>
      </c>
      <c r="F7" s="666">
        <f>rezultati!I39</f>
        <v>217.2</v>
      </c>
      <c r="G7" s="665">
        <f>rezultati!J39</f>
        <v>142.19999999999999</v>
      </c>
      <c r="H7" s="665">
        <f>rezultati!K39</f>
        <v>154.65</v>
      </c>
      <c r="I7" s="665">
        <f>rezultati!L39</f>
        <v>134.15</v>
      </c>
      <c r="J7" s="667">
        <f>rezultati!M39</f>
        <v>214.3</v>
      </c>
      <c r="K7" s="667">
        <f>rezultati!N39</f>
        <v>220.8</v>
      </c>
      <c r="L7" s="667">
        <f>rezultati!O39</f>
        <v>172.5</v>
      </c>
      <c r="M7" s="668" t="s">
        <v>278</v>
      </c>
    </row>
    <row r="8" spans="2:13" x14ac:dyDescent="0.2">
      <c r="B8" s="665" t="s">
        <v>281</v>
      </c>
      <c r="C8" s="664">
        <f>'podatki analize'!C32</f>
        <v>865.04980050722463</v>
      </c>
      <c r="D8" s="664">
        <f>'podatki analize'!D32</f>
        <v>869.35722116884392</v>
      </c>
      <c r="E8" s="665">
        <f>'podatki analize'!E32</f>
        <v>875.21099902234357</v>
      </c>
      <c r="F8" s="666">
        <f>'podatki analize'!F32</f>
        <v>1418.9962375986381</v>
      </c>
      <c r="G8" s="665">
        <f>'podatki analize'!G32</f>
        <v>2114.5376864655627</v>
      </c>
      <c r="H8" s="665">
        <f>'podatki analize'!H32</f>
        <v>2860.0094301214208</v>
      </c>
      <c r="I8" s="665">
        <f>'podatki analize'!I32</f>
        <v>1520.4561224489798</v>
      </c>
      <c r="J8" s="667">
        <f>'podatki analize'!J32</f>
        <v>929.30000000000007</v>
      </c>
      <c r="K8" s="667">
        <f>'podatki analize'!K32</f>
        <v>893.13333333333333</v>
      </c>
      <c r="L8" s="667">
        <f>'podatki analize'!L32</f>
        <v>798.76086956521738</v>
      </c>
      <c r="M8" s="669" t="s">
        <v>282</v>
      </c>
    </row>
    <row r="9" spans="2:13" x14ac:dyDescent="0.2">
      <c r="B9" s="665" t="s">
        <v>283</v>
      </c>
      <c r="C9" s="670">
        <f>rezultati!F45</f>
        <v>66.984631854493429</v>
      </c>
      <c r="D9" s="670">
        <f>rezultati!G45</f>
        <v>67.200002887574399</v>
      </c>
      <c r="E9" s="671">
        <f>rezultati!H45</f>
        <v>93.669630722317194</v>
      </c>
      <c r="F9" s="672">
        <f>rezultati!I45</f>
        <v>103.80811306538271</v>
      </c>
      <c r="G9" s="671">
        <f>rezultati!J45</f>
        <v>127.50764676257886</v>
      </c>
      <c r="H9" s="671">
        <f>rezultati!K45</f>
        <v>162.22281969216414</v>
      </c>
      <c r="I9" s="671">
        <f>rezultati!L45</f>
        <v>98.158327612157791</v>
      </c>
      <c r="J9" s="673">
        <f>rezultati!M45</f>
        <v>85.348553546737506</v>
      </c>
      <c r="K9" s="673">
        <f>rezultati!N45</f>
        <v>88.962509092496362</v>
      </c>
      <c r="L9" s="673">
        <f>rezultati!O45</f>
        <v>60.879510312125142</v>
      </c>
      <c r="M9" s="66" t="s">
        <v>87</v>
      </c>
    </row>
    <row r="10" spans="2:13" x14ac:dyDescent="0.2">
      <c r="B10" s="665" t="s">
        <v>284</v>
      </c>
      <c r="C10" s="670">
        <f>ekon.kaz.polena!D6</f>
        <v>4.258249318961715</v>
      </c>
      <c r="D10" s="670">
        <f>+'ekon.kaz.polena (2)'!D6</f>
        <v>4.2684836759641591</v>
      </c>
      <c r="E10" s="674">
        <f>ekon.kaz.sekanci!D6</f>
        <v>10.748163176570731</v>
      </c>
      <c r="F10" s="675">
        <f>ekon.kaz.peleti!D6</f>
        <v>9.657430792883968</v>
      </c>
      <c r="G10" s="674">
        <f>ekon.kaz.ELKO!D6</f>
        <v>14.258944728928725</v>
      </c>
      <c r="H10" s="674">
        <f>ekon.kaz.UNP!D6</f>
        <v>-31.494604359652456</v>
      </c>
      <c r="I10" s="674">
        <f>+ekon.kaz.ZP!D6</f>
        <v>1141.1066172924584</v>
      </c>
      <c r="J10" s="676">
        <f>ekon.kaz.TČ!D6</f>
        <v>6.6964437517898965</v>
      </c>
      <c r="K10" s="676">
        <f>+'ekon.kaz.TČ (2)'!D6</f>
        <v>11.309470385149515</v>
      </c>
      <c r="L10" s="676">
        <f>+'ekon.kaz.TČ (3)'!D6</f>
        <v>3.7040976340373017</v>
      </c>
      <c r="M10" s="66" t="s">
        <v>258</v>
      </c>
    </row>
    <row r="11" spans="2:13" x14ac:dyDescent="0.2">
      <c r="B11" s="665" t="s">
        <v>285</v>
      </c>
      <c r="C11" s="664">
        <f>ekon.kaz.polena!D7</f>
        <v>17267.958830159063</v>
      </c>
      <c r="D11" s="664">
        <f>+'ekon.kaz.polena (2)'!D7</f>
        <v>17315.850401908276</v>
      </c>
      <c r="E11" s="665">
        <f>ekon.kaz.sekanci!D7</f>
        <v>28930.93497202533</v>
      </c>
      <c r="F11" s="666">
        <f>ekon.kaz.peleti!D7</f>
        <v>27776.949934410542</v>
      </c>
      <c r="G11" s="665">
        <f>ekon.kaz.ELKO!D7</f>
        <v>31310.249238044555</v>
      </c>
      <c r="H11" s="665">
        <f>ekon.kaz.UNP!D7</f>
        <v>38048.692903744304</v>
      </c>
      <c r="I11" s="665">
        <f>+ekon.kaz.ZP!D7</f>
        <v>23055.020242999803</v>
      </c>
      <c r="J11" s="667">
        <f>ekon.kaz.TČ!D7</f>
        <v>21932.317440713832</v>
      </c>
      <c r="K11" s="667">
        <f>+'ekon.kaz.TČ (2)'!D7</f>
        <v>29930.202428583754</v>
      </c>
      <c r="L11" s="667">
        <f>+'ekon.kaz.TČ (3)'!D7</f>
        <v>15780.93281348159</v>
      </c>
      <c r="M11" s="66" t="s">
        <v>278</v>
      </c>
    </row>
    <row r="12" spans="2:13" x14ac:dyDescent="0.2">
      <c r="B12" s="665" t="s">
        <v>286</v>
      </c>
      <c r="C12" s="664">
        <f>ekon.kaz.polena!D8</f>
        <v>12324.326885309092</v>
      </c>
      <c r="D12" s="664">
        <f>+'ekon.kaz.polena (2)'!D8</f>
        <v>12276.435313559879</v>
      </c>
      <c r="E12" s="665">
        <f>ekon.kaz.sekanci!D8</f>
        <v>661.35074344282839</v>
      </c>
      <c r="F12" s="666">
        <f>ekon.kaz.peleti!D8</f>
        <v>1815.3357810576072</v>
      </c>
      <c r="G12" s="665">
        <f>ekon.kaz.ELKO!D8</f>
        <v>-1717.9635225764114</v>
      </c>
      <c r="H12" s="665">
        <f>ekon.kaz.UNP!D8</f>
        <v>-8456.4071882761564</v>
      </c>
      <c r="I12" s="665">
        <f>+ekon.kaz.ZP!D8</f>
        <v>6537.2654724683398</v>
      </c>
      <c r="J12" s="667">
        <f>ekon.kaz.TČ!D8</f>
        <v>7659.968274754312</v>
      </c>
      <c r="K12" s="667">
        <f>+'ekon.kaz.TČ (2)'!D8</f>
        <v>-337.9167131156064</v>
      </c>
      <c r="L12" s="667">
        <f>+'ekon.kaz.TČ (3)'!D8</f>
        <v>13811.352901986564</v>
      </c>
      <c r="M12" s="66" t="s">
        <v>278</v>
      </c>
    </row>
    <row r="13" spans="2:13" x14ac:dyDescent="0.2">
      <c r="B13" s="665" t="s">
        <v>287</v>
      </c>
      <c r="C13" s="677">
        <f>ekon.kaz.polena!D9</f>
        <v>0.22343423280276031</v>
      </c>
      <c r="D13" s="677">
        <f>+'ekon.kaz.polena (2)'!D9</f>
        <v>0.22281126455901301</v>
      </c>
      <c r="E13" s="678">
        <f>ekon.kaz.sekanci!D9</f>
        <v>4.4883355169773598E-2</v>
      </c>
      <c r="F13" s="679">
        <f>ekon.kaz.peleti!D9</f>
        <v>6.086755509560926E-2</v>
      </c>
      <c r="G13" s="680">
        <f>ekon.kaz.ELKO!D9</f>
        <v>6.4011195707995849E-3</v>
      </c>
      <c r="H13" s="680" t="e">
        <f>ekon.kaz.UNP!D9</f>
        <v>#NUM!</v>
      </c>
      <c r="I13" s="680">
        <f>+ekon.kaz.ZP!D9</f>
        <v>0.16732461263797216</v>
      </c>
      <c r="J13" s="681">
        <f>ekon.kaz.TČ!D9</f>
        <v>0.12318981360499115</v>
      </c>
      <c r="K13" s="681">
        <f>+'ekon.kaz.TČ (2)'!D9</f>
        <v>3.7573039190879509E-2</v>
      </c>
      <c r="L13" s="681">
        <f>+'ekon.kaz.TČ (3)'!D9</f>
        <v>0.26171259909640643</v>
      </c>
      <c r="M13" s="66" t="s">
        <v>213</v>
      </c>
    </row>
    <row r="14" spans="2:13" x14ac:dyDescent="0.2">
      <c r="B14" s="656"/>
      <c r="C14" s="656"/>
    </row>
    <row r="15" spans="2:13" x14ac:dyDescent="0.2">
      <c r="B15" s="656"/>
      <c r="C15" s="656"/>
    </row>
    <row r="38" spans="2:3" x14ac:dyDescent="0.2">
      <c r="B38" s="3"/>
      <c r="C38" s="3"/>
    </row>
    <row r="39" spans="2:3" x14ac:dyDescent="0.2">
      <c r="B39" s="3"/>
      <c r="C39" s="3"/>
    </row>
    <row r="40" spans="2:3" x14ac:dyDescent="0.2">
      <c r="B40" s="3"/>
      <c r="C40" s="3"/>
    </row>
  </sheetData>
  <pageMargins left="0.70866141732283472" right="0.70866141732283472" top="0.74803149606299213" bottom="0.74803149606299213" header="0.31496062992125984" footer="0.31496062992125984"/>
  <pageSetup paperSize="9" scale="61" orientation="landscape"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showGridLines="0" tabSelected="1" view="pageBreakPreview" zoomScaleNormal="100" zoomScaleSheetLayoutView="100" workbookViewId="0">
      <selection activeCell="F79" sqref="F79"/>
    </sheetView>
  </sheetViews>
  <sheetFormatPr defaultColWidth="11.42578125" defaultRowHeight="12.75" x14ac:dyDescent="0.2"/>
  <cols>
    <col min="1" max="1" width="2.42578125" customWidth="1"/>
    <col min="2" max="2" width="84" customWidth="1"/>
  </cols>
  <sheetData>
    <row r="1" spans="1:2" ht="18" x14ac:dyDescent="0.25">
      <c r="A1" s="1" t="s">
        <v>0</v>
      </c>
    </row>
    <row r="2" spans="1:2" ht="18" x14ac:dyDescent="0.25">
      <c r="A2" s="1" t="s">
        <v>1</v>
      </c>
    </row>
    <row r="3" spans="1:2" ht="18" x14ac:dyDescent="0.25">
      <c r="A3" s="1" t="s">
        <v>2</v>
      </c>
    </row>
    <row r="4" spans="1:2" ht="18" x14ac:dyDescent="0.25">
      <c r="A4" s="1" t="s">
        <v>3</v>
      </c>
    </row>
    <row r="5" spans="1:2" ht="18" x14ac:dyDescent="0.25">
      <c r="A5" s="1" t="s">
        <v>4</v>
      </c>
    </row>
    <row r="6" spans="1:2" x14ac:dyDescent="0.2">
      <c r="A6" s="2"/>
      <c r="B6" s="2"/>
    </row>
    <row r="8" spans="1:2" x14ac:dyDescent="0.2">
      <c r="A8" s="3" t="s">
        <v>5</v>
      </c>
    </row>
    <row r="9" spans="1:2" x14ac:dyDescent="0.2">
      <c r="A9" t="s">
        <v>6</v>
      </c>
    </row>
    <row r="10" spans="1:2" x14ac:dyDescent="0.2">
      <c r="A10" s="4" t="s">
        <v>7</v>
      </c>
    </row>
    <row r="11" spans="1:2" x14ac:dyDescent="0.2">
      <c r="A11" t="s">
        <v>8</v>
      </c>
    </row>
    <row r="13" spans="1:2" x14ac:dyDescent="0.2">
      <c r="A13" s="5" t="s">
        <v>9</v>
      </c>
      <c r="B13" s="5"/>
    </row>
    <row r="15" spans="1:2" x14ac:dyDescent="0.2">
      <c r="A15" s="3" t="s">
        <v>10</v>
      </c>
    </row>
    <row r="19" spans="1:8" s="6" customFormat="1" x14ac:dyDescent="0.2">
      <c r="A19"/>
      <c r="B19"/>
      <c r="C19" s="4"/>
      <c r="D19" s="4"/>
      <c r="E19" s="4"/>
      <c r="F19" s="4"/>
      <c r="G19" s="4"/>
      <c r="H19" s="4"/>
    </row>
    <row r="20" spans="1:8" x14ac:dyDescent="0.2">
      <c r="A20" s="3" t="s">
        <v>11</v>
      </c>
      <c r="C20" s="7"/>
      <c r="D20" s="7"/>
      <c r="E20" s="7"/>
      <c r="F20" s="7"/>
      <c r="G20" s="7"/>
      <c r="H20" s="7"/>
    </row>
    <row r="21" spans="1:8" x14ac:dyDescent="0.2">
      <c r="A21" s="6" t="s">
        <v>12</v>
      </c>
      <c r="C21" s="7"/>
      <c r="D21" s="7"/>
      <c r="E21" s="7"/>
      <c r="F21" s="7"/>
      <c r="G21" s="7"/>
      <c r="H21" s="7"/>
    </row>
    <row r="22" spans="1:8" x14ac:dyDescent="0.2">
      <c r="C22" s="7"/>
      <c r="D22" s="7"/>
      <c r="E22" s="7"/>
      <c r="F22" s="7"/>
      <c r="G22" s="7"/>
      <c r="H22" s="7"/>
    </row>
    <row r="23" spans="1:8" x14ac:dyDescent="0.2">
      <c r="A23" s="6" t="s">
        <v>13</v>
      </c>
    </row>
    <row r="24" spans="1:8" x14ac:dyDescent="0.2">
      <c r="A24" s="3" t="s">
        <v>14</v>
      </c>
      <c r="B24" s="6"/>
    </row>
    <row r="25" spans="1:8" x14ac:dyDescent="0.2">
      <c r="A25" s="6" t="s">
        <v>15</v>
      </c>
      <c r="B25" s="6"/>
    </row>
    <row r="26" spans="1:8" x14ac:dyDescent="0.2">
      <c r="A26" s="6" t="s">
        <v>16</v>
      </c>
    </row>
    <row r="27" spans="1:8" x14ac:dyDescent="0.2">
      <c r="A27" s="6"/>
    </row>
    <row r="28" spans="1:8" x14ac:dyDescent="0.2">
      <c r="A28" s="6" t="s">
        <v>17</v>
      </c>
    </row>
    <row r="29" spans="1:8" x14ac:dyDescent="0.2">
      <c r="A29" s="6" t="s">
        <v>18</v>
      </c>
    </row>
    <row r="31" spans="1:8" x14ac:dyDescent="0.2">
      <c r="A31" s="3" t="s">
        <v>19</v>
      </c>
    </row>
    <row r="33" spans="1:1" x14ac:dyDescent="0.2">
      <c r="A33" t="s">
        <v>20</v>
      </c>
    </row>
    <row r="35" spans="1:1" x14ac:dyDescent="0.2">
      <c r="A35" t="s">
        <v>21</v>
      </c>
    </row>
    <row r="37" spans="1:1" x14ac:dyDescent="0.2">
      <c r="A37" s="7" t="s">
        <v>22</v>
      </c>
    </row>
    <row r="38" spans="1:1" x14ac:dyDescent="0.2">
      <c r="A38" s="7" t="s">
        <v>23</v>
      </c>
    </row>
    <row r="40" spans="1:1" x14ac:dyDescent="0.2">
      <c r="A40" t="s">
        <v>24</v>
      </c>
    </row>
    <row r="41" spans="1:1" x14ac:dyDescent="0.2">
      <c r="A41" t="s">
        <v>25</v>
      </c>
    </row>
    <row r="43" spans="1:1" x14ac:dyDescent="0.2">
      <c r="A43" s="3" t="s">
        <v>26</v>
      </c>
    </row>
    <row r="44" spans="1:1" x14ac:dyDescent="0.2">
      <c r="A44" s="6" t="s">
        <v>27</v>
      </c>
    </row>
    <row r="46" spans="1:1" x14ac:dyDescent="0.2">
      <c r="A46" t="s">
        <v>28</v>
      </c>
    </row>
    <row r="47" spans="1:1" x14ac:dyDescent="0.2">
      <c r="A47" t="s">
        <v>29</v>
      </c>
    </row>
    <row r="49" spans="1:2" x14ac:dyDescent="0.2">
      <c r="A49" s="8" t="s">
        <v>30</v>
      </c>
    </row>
    <row r="50" spans="1:2" x14ac:dyDescent="0.2">
      <c r="A50" s="6" t="s">
        <v>31</v>
      </c>
    </row>
    <row r="52" spans="1:2" x14ac:dyDescent="0.2">
      <c r="A52" t="s">
        <v>32</v>
      </c>
    </row>
    <row r="53" spans="1:2" x14ac:dyDescent="0.2">
      <c r="A53" s="6" t="s">
        <v>33</v>
      </c>
    </row>
    <row r="55" spans="1:2" x14ac:dyDescent="0.2">
      <c r="A55" t="s">
        <v>34</v>
      </c>
    </row>
    <row r="56" spans="1:2" x14ac:dyDescent="0.2">
      <c r="A56" s="6" t="s">
        <v>35</v>
      </c>
    </row>
    <row r="58" spans="1:2" x14ac:dyDescent="0.2">
      <c r="A58" s="3" t="s">
        <v>36</v>
      </c>
    </row>
    <row r="59" spans="1:2" x14ac:dyDescent="0.2">
      <c r="A59" s="6" t="s">
        <v>37</v>
      </c>
    </row>
    <row r="60" spans="1:2" x14ac:dyDescent="0.2">
      <c r="A60" t="s">
        <v>38</v>
      </c>
    </row>
    <row r="64" spans="1:2" x14ac:dyDescent="0.2">
      <c r="A64" s="5" t="s">
        <v>39</v>
      </c>
      <c r="B64" s="9"/>
    </row>
    <row r="66" spans="1:8" x14ac:dyDescent="0.2">
      <c r="A66" t="s">
        <v>40</v>
      </c>
      <c r="C66" s="7"/>
      <c r="D66" s="7"/>
      <c r="E66" s="7"/>
      <c r="F66" s="7"/>
      <c r="G66" s="7"/>
      <c r="H66" s="7"/>
    </row>
    <row r="67" spans="1:8" x14ac:dyDescent="0.2">
      <c r="A67" t="s">
        <v>41</v>
      </c>
    </row>
    <row r="69" spans="1:8" x14ac:dyDescent="0.2">
      <c r="A69" t="s">
        <v>42</v>
      </c>
    </row>
    <row r="72" spans="1:8" x14ac:dyDescent="0.2">
      <c r="A72" t="s">
        <v>43</v>
      </c>
    </row>
    <row r="73" spans="1:8" x14ac:dyDescent="0.2">
      <c r="A73" t="s">
        <v>44</v>
      </c>
    </row>
    <row r="75" spans="1:8" x14ac:dyDescent="0.2">
      <c r="A75" t="s">
        <v>45</v>
      </c>
    </row>
    <row r="77" spans="1:8" x14ac:dyDescent="0.2">
      <c r="A77" s="5" t="s">
        <v>365</v>
      </c>
      <c r="B77" s="5"/>
    </row>
    <row r="79" spans="1:8" ht="409.5" customHeight="1" x14ac:dyDescent="0.2">
      <c r="A79" s="804" t="s">
        <v>366</v>
      </c>
      <c r="B79" s="805"/>
    </row>
    <row r="80" spans="1:8" ht="336.75" customHeight="1" x14ac:dyDescent="0.2">
      <c r="A80" s="804" t="s">
        <v>367</v>
      </c>
      <c r="B80" s="805"/>
    </row>
  </sheetData>
  <mergeCells count="2">
    <mergeCell ref="A79:B79"/>
    <mergeCell ref="A80:B80"/>
  </mergeCells>
  <printOptions horizontalCentered="1"/>
  <pageMargins left="0.59055118110236227" right="0.59055118110236227" top="0.98425196850393704" bottom="0.98425196850393704" header="0.51181102362204722" footer="0.51181102362204722"/>
  <pageSetup paperSize="9" scale="92" orientation="portrait" r:id="rId1"/>
  <headerFooter alignWithMargins="0"/>
  <rowBreaks count="1" manualBreakCount="1">
    <brk id="61" max="16383" man="1"/>
  </rowBreaks>
  <colBreaks count="1" manualBreakCount="1">
    <brk id="2" max="1048575" man="1"/>
  </colBreaks>
  <drawing r:id="rId2"/>
  <legacyDrawing r:id="rId3"/>
  <legacyDrawingHF r:id="rId4"/>
  <oleObjects>
    <mc:AlternateContent xmlns:mc="http://schemas.openxmlformats.org/markup-compatibility/2006">
      <mc:Choice Requires="x14">
        <oleObject progId="Equation.3" shapeId="1025" r:id="rId5">
          <objectPr defaultSize="0" autoPict="0" r:id="rId6">
            <anchor moveWithCells="1">
              <from>
                <xdr:col>0</xdr:col>
                <xdr:colOff>47625</xdr:colOff>
                <xdr:row>12</xdr:row>
                <xdr:rowOff>152400</xdr:rowOff>
              </from>
              <to>
                <xdr:col>1</xdr:col>
                <xdr:colOff>800100</xdr:colOff>
                <xdr:row>15</xdr:row>
                <xdr:rowOff>66675</xdr:rowOff>
              </to>
            </anchor>
          </objectPr>
        </oleObject>
      </mc:Choice>
      <mc:Fallback>
        <oleObject progId="Equation.3" shapeId="1025" r:id="rId5"/>
      </mc:Fallback>
    </mc:AlternateContent>
    <mc:AlternateContent xmlns:mc="http://schemas.openxmlformats.org/markup-compatibility/2006">
      <mc:Choice Requires="x14">
        <oleObject progId="Equation.3" shapeId="1026" r:id="rId7">
          <objectPr defaultSize="0" autoPict="0" r:id="rId6">
            <anchor moveWithCells="1">
              <from>
                <xdr:col>0</xdr:col>
                <xdr:colOff>47625</xdr:colOff>
                <xdr:row>12</xdr:row>
                <xdr:rowOff>152400</xdr:rowOff>
              </from>
              <to>
                <xdr:col>1</xdr:col>
                <xdr:colOff>800100</xdr:colOff>
                <xdr:row>15</xdr:row>
                <xdr:rowOff>66675</xdr:rowOff>
              </to>
            </anchor>
          </objectPr>
        </oleObject>
      </mc:Choice>
      <mc:Fallback>
        <oleObject progId="Equation.3" shapeId="1026" r:id="rId7"/>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56"/>
  <sheetViews>
    <sheetView showGridLines="0" view="pageBreakPreview" topLeftCell="A41" zoomScale="85" zoomScaleNormal="100" zoomScaleSheetLayoutView="85" workbookViewId="0">
      <selection activeCell="E66" sqref="E66"/>
    </sheetView>
  </sheetViews>
  <sheetFormatPr defaultRowHeight="12.75" x14ac:dyDescent="0.2"/>
  <cols>
    <col min="1" max="1" width="3.5703125" customWidth="1"/>
    <col min="2" max="2" width="31.42578125" bestFit="1" customWidth="1"/>
    <col min="4" max="4" width="11" customWidth="1"/>
    <col min="5" max="5" width="13.28515625" customWidth="1"/>
    <col min="6" max="7" width="12.85546875" customWidth="1"/>
    <col min="8" max="8" width="22.28515625" bestFit="1" customWidth="1"/>
    <col min="9" max="10" width="14.7109375" customWidth="1"/>
    <col min="11" max="12" width="12.85546875" customWidth="1"/>
    <col min="13" max="13" width="11.5703125" bestFit="1" customWidth="1"/>
    <col min="14" max="14" width="10.85546875" bestFit="1" customWidth="1"/>
  </cols>
  <sheetData>
    <row r="1" spans="3:10" ht="18" x14ac:dyDescent="0.25">
      <c r="C1" s="11"/>
      <c r="D1" s="12"/>
      <c r="E1" s="11"/>
      <c r="F1" s="13"/>
      <c r="G1" s="13"/>
      <c r="H1" s="11"/>
      <c r="I1" s="14"/>
      <c r="J1" s="14"/>
    </row>
    <row r="2" spans="3:10" ht="18" x14ac:dyDescent="0.25">
      <c r="C2" s="15" t="s">
        <v>46</v>
      </c>
      <c r="D2" s="16"/>
      <c r="E2" s="17"/>
      <c r="F2" s="17"/>
      <c r="G2" s="17"/>
      <c r="H2" s="17"/>
      <c r="I2" s="18"/>
      <c r="J2" s="18"/>
    </row>
    <row r="3" spans="3:10" ht="18" x14ac:dyDescent="0.25">
      <c r="C3" s="15" t="s">
        <v>47</v>
      </c>
    </row>
    <row r="4" spans="3:10" ht="18" x14ac:dyDescent="0.25">
      <c r="C4" s="15"/>
    </row>
    <row r="5" spans="3:10" x14ac:dyDescent="0.2">
      <c r="C5" s="19" t="s">
        <v>48</v>
      </c>
    </row>
    <row r="6" spans="3:10" x14ac:dyDescent="0.2">
      <c r="C6" s="20" t="s">
        <v>49</v>
      </c>
      <c r="D6" s="21"/>
      <c r="E6" s="21"/>
      <c r="F6" s="21"/>
      <c r="G6" s="21"/>
      <c r="H6" s="21"/>
      <c r="I6" s="21"/>
    </row>
    <row r="7" spans="3:10" x14ac:dyDescent="0.2">
      <c r="C7" s="21"/>
      <c r="D7" s="21"/>
      <c r="E7" s="21"/>
      <c r="F7" s="21"/>
      <c r="G7" s="21"/>
      <c r="H7" s="21"/>
      <c r="I7" s="21"/>
    </row>
    <row r="8" spans="3:10" x14ac:dyDescent="0.2">
      <c r="C8" s="22" t="s">
        <v>50</v>
      </c>
    </row>
    <row r="10" spans="3:10" x14ac:dyDescent="0.2">
      <c r="C10" s="3" t="s">
        <v>51</v>
      </c>
      <c r="E10" s="23">
        <v>7.0000000000000007E-2</v>
      </c>
      <c r="F10" s="6" t="s">
        <v>52</v>
      </c>
      <c r="G10" s="6"/>
    </row>
    <row r="11" spans="3:10" x14ac:dyDescent="0.2">
      <c r="F11" s="6" t="s">
        <v>53</v>
      </c>
      <c r="G11" s="6"/>
      <c r="H11" s="6"/>
    </row>
    <row r="12" spans="3:10" x14ac:dyDescent="0.2">
      <c r="H12" s="6"/>
    </row>
    <row r="13" spans="3:10" x14ac:dyDescent="0.2">
      <c r="C13" s="24" t="s">
        <v>54</v>
      </c>
      <c r="D13" s="25"/>
      <c r="E13" s="26" t="s">
        <v>55</v>
      </c>
      <c r="F13" s="26" t="s">
        <v>56</v>
      </c>
      <c r="G13" s="27"/>
      <c r="H13" s="6"/>
    </row>
    <row r="14" spans="3:10" x14ac:dyDescent="0.2">
      <c r="C14" s="796" t="s">
        <v>57</v>
      </c>
      <c r="D14" s="795"/>
      <c r="E14" s="28">
        <v>15</v>
      </c>
      <c r="F14" s="29">
        <v>1</v>
      </c>
      <c r="G14" s="30"/>
      <c r="H14" s="6"/>
    </row>
    <row r="15" spans="3:10" x14ac:dyDescent="0.2">
      <c r="C15" s="796" t="s">
        <v>58</v>
      </c>
      <c r="D15" s="795"/>
      <c r="E15" s="28">
        <v>15</v>
      </c>
      <c r="F15" s="29">
        <v>1</v>
      </c>
      <c r="G15" s="30"/>
      <c r="H15" s="6"/>
    </row>
    <row r="16" spans="3:10" x14ac:dyDescent="0.2">
      <c r="C16" s="31" t="s">
        <v>59</v>
      </c>
      <c r="D16" s="32"/>
      <c r="E16" s="28">
        <v>33</v>
      </c>
      <c r="F16" s="29">
        <v>0.5</v>
      </c>
      <c r="G16" s="30"/>
      <c r="H16" s="6"/>
    </row>
    <row r="17" spans="3:11" x14ac:dyDescent="0.2">
      <c r="H17" s="6"/>
    </row>
    <row r="18" spans="3:11" s="3" customFormat="1" x14ac:dyDescent="0.2">
      <c r="C18" s="22" t="s">
        <v>60</v>
      </c>
      <c r="K18" s="8"/>
    </row>
    <row r="19" spans="3:11" s="3" customFormat="1" x14ac:dyDescent="0.2">
      <c r="C19" s="6" t="s">
        <v>61</v>
      </c>
      <c r="H19" s="33">
        <v>20</v>
      </c>
      <c r="I19" s="34" t="s">
        <v>62</v>
      </c>
    </row>
    <row r="20" spans="3:11" s="3" customFormat="1" x14ac:dyDescent="0.2">
      <c r="C20" s="6" t="s">
        <v>63</v>
      </c>
      <c r="D20"/>
      <c r="E20"/>
      <c r="F20"/>
      <c r="G20"/>
      <c r="H20" s="35">
        <v>0.9</v>
      </c>
      <c r="I20" s="36"/>
    </row>
    <row r="21" spans="3:11" s="3" customFormat="1" x14ac:dyDescent="0.2">
      <c r="C21" s="6"/>
      <c r="D21"/>
      <c r="E21"/>
      <c r="F21"/>
      <c r="G21"/>
      <c r="H21" s="48"/>
      <c r="I21" s="36"/>
    </row>
    <row r="22" spans="3:11" s="3" customFormat="1" x14ac:dyDescent="0.2">
      <c r="C22" s="6"/>
      <c r="D22"/>
      <c r="E22"/>
      <c r="F22"/>
      <c r="G22"/>
      <c r="H22" s="36" t="str">
        <f>+L63</f>
        <v>TČ zrak/voda</v>
      </c>
      <c r="I22" s="36" t="str">
        <f t="shared" ref="I22:J22" si="0">+M63</f>
        <v>TČ zemlja/voda</v>
      </c>
      <c r="J22" s="36" t="str">
        <f t="shared" si="0"/>
        <v>TČ voda/voda</v>
      </c>
    </row>
    <row r="23" spans="3:11" s="3" customFormat="1" x14ac:dyDescent="0.2">
      <c r="C23" s="6" t="s">
        <v>64</v>
      </c>
      <c r="D23"/>
      <c r="E23"/>
      <c r="F23"/>
      <c r="G23"/>
      <c r="H23" s="37">
        <v>3.8</v>
      </c>
      <c r="I23" s="37">
        <v>4.2</v>
      </c>
      <c r="J23" s="37">
        <v>4.5999999999999996</v>
      </c>
    </row>
    <row r="24" spans="3:11" x14ac:dyDescent="0.2">
      <c r="H24" s="38"/>
      <c r="I24" s="39"/>
    </row>
    <row r="25" spans="3:11" x14ac:dyDescent="0.2">
      <c r="C25" s="22" t="s">
        <v>65</v>
      </c>
      <c r="G25" s="36" t="s">
        <v>66</v>
      </c>
      <c r="H25" s="36" t="s">
        <v>67</v>
      </c>
      <c r="J25" s="40"/>
    </row>
    <row r="26" spans="3:11" x14ac:dyDescent="0.2">
      <c r="C26" s="6" t="s">
        <v>68</v>
      </c>
      <c r="G26" s="41">
        <f>H26/H20</f>
        <v>22.222222222222221</v>
      </c>
      <c r="H26" s="41">
        <v>20</v>
      </c>
      <c r="I26" s="34" t="s">
        <v>69</v>
      </c>
    </row>
    <row r="27" spans="3:11" x14ac:dyDescent="0.2">
      <c r="C27" s="6"/>
    </row>
    <row r="28" spans="3:11" x14ac:dyDescent="0.2">
      <c r="C28" s="42" t="s">
        <v>70</v>
      </c>
    </row>
    <row r="29" spans="3:11" x14ac:dyDescent="0.2">
      <c r="C29" s="6" t="s">
        <v>71</v>
      </c>
      <c r="G29" s="36" t="s">
        <v>66</v>
      </c>
      <c r="H29" s="36" t="s">
        <v>67</v>
      </c>
    </row>
    <row r="30" spans="3:11" x14ac:dyDescent="0.2">
      <c r="F30" s="39" t="s">
        <v>72</v>
      </c>
      <c r="G30" s="41">
        <f>H30/H34</f>
        <v>28.571428571428573</v>
      </c>
      <c r="H30" s="41">
        <f>H26</f>
        <v>20</v>
      </c>
      <c r="I30" s="34" t="s">
        <v>69</v>
      </c>
    </row>
    <row r="31" spans="3:11" x14ac:dyDescent="0.2">
      <c r="C31" s="42"/>
      <c r="H31" s="43"/>
      <c r="I31" s="44"/>
    </row>
    <row r="32" spans="3:11" x14ac:dyDescent="0.2">
      <c r="C32" s="22" t="s">
        <v>73</v>
      </c>
    </row>
    <row r="33" spans="2:13" x14ac:dyDescent="0.2">
      <c r="C33" s="6" t="s">
        <v>74</v>
      </c>
      <c r="F33" s="45" t="s">
        <v>72</v>
      </c>
      <c r="G33" s="46"/>
      <c r="H33" s="33">
        <v>35</v>
      </c>
      <c r="I33" s="26" t="s">
        <v>62</v>
      </c>
    </row>
    <row r="34" spans="2:13" x14ac:dyDescent="0.2">
      <c r="C34" s="6" t="s">
        <v>63</v>
      </c>
      <c r="G34" s="46"/>
      <c r="H34" s="35">
        <v>0.7</v>
      </c>
      <c r="I34" s="47"/>
    </row>
    <row r="35" spans="2:13" x14ac:dyDescent="0.2">
      <c r="C35" s="6"/>
      <c r="G35" s="45"/>
      <c r="H35" s="48"/>
      <c r="I35" s="47"/>
    </row>
    <row r="36" spans="2:13" x14ac:dyDescent="0.2">
      <c r="C36" s="6" t="s">
        <v>75</v>
      </c>
      <c r="H36" s="49"/>
      <c r="I36" s="27"/>
    </row>
    <row r="37" spans="2:13" x14ac:dyDescent="0.2">
      <c r="C37" s="6"/>
      <c r="H37" s="49"/>
      <c r="I37" s="27"/>
    </row>
    <row r="38" spans="2:13" s="3" customFormat="1" x14ac:dyDescent="0.2">
      <c r="C38" s="3" t="s">
        <v>76</v>
      </c>
    </row>
    <row r="39" spans="2:13" x14ac:dyDescent="0.2">
      <c r="C39" s="6"/>
    </row>
    <row r="40" spans="2:13" ht="25.5" x14ac:dyDescent="0.2">
      <c r="C40" s="50" t="s">
        <v>77</v>
      </c>
      <c r="D40" s="50" t="s">
        <v>78</v>
      </c>
      <c r="E40" s="724" t="s">
        <v>320</v>
      </c>
      <c r="F40" s="724" t="s">
        <v>321</v>
      </c>
      <c r="G40" s="51" t="s">
        <v>72</v>
      </c>
      <c r="H40" s="51" t="s">
        <v>79</v>
      </c>
      <c r="I40" s="51" t="s">
        <v>80</v>
      </c>
      <c r="J40" s="52" t="s">
        <v>81</v>
      </c>
      <c r="K40" s="52" t="s">
        <v>82</v>
      </c>
      <c r="L40" s="52" t="s">
        <v>83</v>
      </c>
    </row>
    <row r="41" spans="2:13" x14ac:dyDescent="0.2">
      <c r="C41" s="26" t="s">
        <v>84</v>
      </c>
      <c r="D41" s="26" t="s">
        <v>84</v>
      </c>
      <c r="E41" s="26" t="s">
        <v>84</v>
      </c>
      <c r="F41" s="26" t="s">
        <v>84</v>
      </c>
      <c r="G41" s="26" t="s">
        <v>85</v>
      </c>
      <c r="H41" s="26" t="s">
        <v>86</v>
      </c>
      <c r="I41" s="704" t="s">
        <v>315</v>
      </c>
      <c r="J41" s="53" t="s">
        <v>87</v>
      </c>
      <c r="K41" s="53" t="s">
        <v>87</v>
      </c>
      <c r="L41" s="53" t="s">
        <v>87</v>
      </c>
    </row>
    <row r="42" spans="2:13" x14ac:dyDescent="0.2">
      <c r="C42" s="54">
        <v>0.13</v>
      </c>
      <c r="D42" s="55">
        <v>0.124</v>
      </c>
      <c r="E42" s="55">
        <f>17/180</f>
        <v>9.4444444444444442E-2</v>
      </c>
      <c r="F42" s="55">
        <v>0.255</v>
      </c>
      <c r="G42" s="54">
        <v>0.88</v>
      </c>
      <c r="H42" s="54">
        <v>3.39</v>
      </c>
      <c r="I42" s="703">
        <v>6.6900000000000001E-2</v>
      </c>
      <c r="J42" s="54">
        <v>133</v>
      </c>
      <c r="K42" s="54">
        <f>+J42</f>
        <v>133</v>
      </c>
      <c r="L42" s="54">
        <f>+J42</f>
        <v>133</v>
      </c>
    </row>
    <row r="43" spans="2:13" x14ac:dyDescent="0.2">
      <c r="B43" s="699" t="s">
        <v>310</v>
      </c>
      <c r="C43" s="700">
        <f t="shared" ref="C43:H43" si="1">+C42/1.22-SUM(C45:C49)</f>
        <v>0.10655737704918034</v>
      </c>
      <c r="D43" s="700">
        <f t="shared" si="1"/>
        <v>0.10163934426229508</v>
      </c>
      <c r="E43" s="700">
        <f t="shared" si="1"/>
        <v>7.7413479052823309E-2</v>
      </c>
      <c r="F43" s="700">
        <f t="shared" si="1"/>
        <v>0.20901639344262296</v>
      </c>
      <c r="G43" s="700">
        <f>+G42/1.22-SUM(G45:G49)</f>
        <v>0.49920147540983606</v>
      </c>
      <c r="H43" s="700">
        <f t="shared" si="1"/>
        <v>2.6310885245901638</v>
      </c>
      <c r="I43" s="700">
        <f>+I42/1.22-SUM(I45:I49)</f>
        <v>4.818606557377049E-2</v>
      </c>
      <c r="J43" s="700">
        <f>+J42/1.22-SUM(J45:J49)</f>
        <v>103.44639344262296</v>
      </c>
      <c r="K43" s="700">
        <f>+K42/1.22-SUM(K45:K49)</f>
        <v>103.44639344262296</v>
      </c>
      <c r="L43" s="700">
        <f>+L42/1.22-SUM(L45:L49)</f>
        <v>103.44639344262296</v>
      </c>
    </row>
    <row r="44" spans="2:13" x14ac:dyDescent="0.2">
      <c r="B44" s="699" t="s">
        <v>309</v>
      </c>
      <c r="C44" s="700">
        <f t="shared" ref="C44:F44" si="2">+C42/1.22*0.22</f>
        <v>2.3442622950819673E-2</v>
      </c>
      <c r="D44" s="700">
        <f t="shared" si="2"/>
        <v>2.2360655737704918E-2</v>
      </c>
      <c r="E44" s="700">
        <f t="shared" si="2"/>
        <v>1.7030965391621126E-2</v>
      </c>
      <c r="F44" s="700">
        <f t="shared" si="2"/>
        <v>4.5983606557377051E-2</v>
      </c>
      <c r="G44" s="700">
        <f>+G42/1.22*0.22</f>
        <v>0.15868852459016394</v>
      </c>
      <c r="H44" s="700">
        <f t="shared" ref="H44" si="3">+H42/1.22*0.22</f>
        <v>0.6113114754098361</v>
      </c>
      <c r="I44" s="700">
        <f>+I42/1.22*0.22</f>
        <v>1.2063934426229508E-2</v>
      </c>
      <c r="J44" s="700">
        <f>+J42/1.22*0.22</f>
        <v>23.983606557377051</v>
      </c>
      <c r="K44" s="700">
        <f>+K42/1.22*0.22</f>
        <v>23.983606557377051</v>
      </c>
      <c r="L44" s="700">
        <f>+L42/1.22*0.22</f>
        <v>23.983606557377051</v>
      </c>
    </row>
    <row r="45" spans="2:13" x14ac:dyDescent="0.2">
      <c r="B45" s="699" t="s">
        <v>316</v>
      </c>
      <c r="C45" s="723"/>
      <c r="D45" s="723"/>
      <c r="E45" s="723"/>
      <c r="F45" s="723"/>
      <c r="G45" s="706">
        <v>4.6710000000000002E-2</v>
      </c>
      <c r="H45" s="706">
        <v>0.1013</v>
      </c>
      <c r="I45" s="707">
        <v>3.15E-3</v>
      </c>
      <c r="J45" s="723"/>
      <c r="K45" s="723"/>
      <c r="L45" s="723"/>
      <c r="M45" s="708"/>
    </row>
    <row r="46" spans="2:13" x14ac:dyDescent="0.2">
      <c r="B46" s="702" t="s">
        <v>312</v>
      </c>
      <c r="C46" s="723"/>
      <c r="D46" s="723"/>
      <c r="E46" s="723"/>
      <c r="F46" s="723"/>
      <c r="G46" s="708">
        <v>8.0000000000000002E-3</v>
      </c>
      <c r="H46" s="708">
        <v>2.07E-2</v>
      </c>
      <c r="I46" s="708">
        <v>8.0000000000000004E-4</v>
      </c>
      <c r="J46" s="708">
        <f>1000*0.0008</f>
        <v>0.8</v>
      </c>
      <c r="K46" s="708">
        <f>1000*0.0008</f>
        <v>0.8</v>
      </c>
      <c r="L46" s="708">
        <f>1000*0.0008</f>
        <v>0.8</v>
      </c>
      <c r="M46" s="708"/>
    </row>
    <row r="47" spans="2:13" x14ac:dyDescent="0.2">
      <c r="B47" s="702" t="s">
        <v>313</v>
      </c>
      <c r="C47" s="723"/>
      <c r="D47" s="723"/>
      <c r="E47" s="723"/>
      <c r="F47" s="723"/>
      <c r="G47" s="705">
        <v>9.9000000000000008E-3</v>
      </c>
      <c r="H47" s="708">
        <v>2.5600000000000001E-2</v>
      </c>
      <c r="I47" s="708">
        <v>9.8999999999999999E-4</v>
      </c>
      <c r="J47" s="708">
        <f>5.57-J46-J48-J49</f>
        <v>1.5900000000000003</v>
      </c>
      <c r="K47" s="708">
        <f>5.57-K46-K48-K49</f>
        <v>1.5900000000000003</v>
      </c>
      <c r="L47" s="708">
        <f>5.57-L46-L48-L49</f>
        <v>1.5900000000000003</v>
      </c>
      <c r="M47" s="708"/>
    </row>
    <row r="48" spans="2:13" x14ac:dyDescent="0.2">
      <c r="B48" s="702" t="s">
        <v>318</v>
      </c>
      <c r="C48" s="723"/>
      <c r="D48" s="723"/>
      <c r="E48" s="723"/>
      <c r="F48" s="723"/>
      <c r="G48" s="723"/>
      <c r="H48" s="723"/>
      <c r="I48" s="723"/>
      <c r="J48" s="708">
        <f>1000*0.00013</f>
        <v>0.12999999999999998</v>
      </c>
      <c r="K48" s="708">
        <f>1000*0.00013</f>
        <v>0.12999999999999998</v>
      </c>
      <c r="L48" s="708">
        <f>1000*0.00013</f>
        <v>0.12999999999999998</v>
      </c>
      <c r="M48" s="708"/>
    </row>
    <row r="49" spans="2:14" x14ac:dyDescent="0.2">
      <c r="B49" s="702" t="s">
        <v>314</v>
      </c>
      <c r="C49" s="723"/>
      <c r="D49" s="723"/>
      <c r="E49" s="723"/>
      <c r="F49" s="723"/>
      <c r="G49" s="705">
        <v>0.1575</v>
      </c>
      <c r="H49" s="723"/>
      <c r="I49" s="708">
        <v>1.7099999999999999E-3</v>
      </c>
      <c r="J49" s="708">
        <f>1000*0.00305</f>
        <v>3.0500000000000003</v>
      </c>
      <c r="K49" s="708">
        <f>1000*0.00305</f>
        <v>3.0500000000000003</v>
      </c>
      <c r="L49" s="708">
        <f>1000*0.00305</f>
        <v>3.0500000000000003</v>
      </c>
      <c r="M49" s="708"/>
    </row>
    <row r="50" spans="2:14" x14ac:dyDescent="0.2">
      <c r="B50" s="710" t="s">
        <v>311</v>
      </c>
      <c r="C50" s="709" t="s">
        <v>317</v>
      </c>
      <c r="D50" s="711"/>
      <c r="E50" s="711"/>
      <c r="F50" s="711"/>
      <c r="G50" s="711"/>
      <c r="H50" s="711"/>
      <c r="I50" s="712"/>
      <c r="J50" s="712"/>
      <c r="K50" s="712"/>
      <c r="L50" s="712"/>
      <c r="M50" s="713"/>
    </row>
    <row r="51" spans="2:14" x14ac:dyDescent="0.2">
      <c r="C51" s="700"/>
      <c r="D51" s="700"/>
      <c r="E51" s="700"/>
      <c r="F51" s="700"/>
      <c r="G51" s="700"/>
      <c r="H51" s="700"/>
      <c r="I51" s="701"/>
      <c r="J51" s="714" t="s">
        <v>319</v>
      </c>
      <c r="K51" s="701"/>
      <c r="L51" s="701"/>
    </row>
    <row r="52" spans="2:14" x14ac:dyDescent="0.2">
      <c r="C52" s="700"/>
      <c r="D52" s="700"/>
      <c r="E52" s="700"/>
      <c r="F52" s="700"/>
      <c r="G52" s="700"/>
      <c r="H52" s="700"/>
      <c r="I52" s="701"/>
      <c r="J52" s="701"/>
      <c r="K52" s="701"/>
      <c r="L52" s="701"/>
    </row>
    <row r="53" spans="2:14" x14ac:dyDescent="0.2">
      <c r="C53" s="56" t="s">
        <v>88</v>
      </c>
      <c r="D53" s="57"/>
      <c r="E53" s="57"/>
      <c r="F53" s="57"/>
      <c r="G53" s="57"/>
      <c r="H53" s="57"/>
    </row>
    <row r="54" spans="2:14" x14ac:dyDescent="0.2">
      <c r="C54" s="56" t="s">
        <v>89</v>
      </c>
      <c r="D54" s="6"/>
      <c r="E54" s="6"/>
      <c r="F54" s="6"/>
      <c r="G54" s="6"/>
      <c r="H54" s="6"/>
      <c r="K54" s="58"/>
    </row>
    <row r="55" spans="2:14" x14ac:dyDescent="0.2">
      <c r="C55" s="56"/>
      <c r="D55" s="6"/>
      <c r="E55" s="6"/>
      <c r="F55" s="6"/>
      <c r="G55" s="6"/>
      <c r="H55" s="6"/>
      <c r="K55" s="58"/>
    </row>
    <row r="56" spans="2:14" x14ac:dyDescent="0.2">
      <c r="C56" s="3" t="s">
        <v>90</v>
      </c>
    </row>
    <row r="57" spans="2:14" x14ac:dyDescent="0.2">
      <c r="C57" s="797" t="s">
        <v>91</v>
      </c>
      <c r="D57" s="797"/>
      <c r="E57" s="797"/>
      <c r="F57" s="59"/>
      <c r="G57" s="59"/>
      <c r="H57" s="60"/>
      <c r="I57" s="60"/>
    </row>
    <row r="58" spans="2:14" x14ac:dyDescent="0.2">
      <c r="C58" s="60"/>
      <c r="D58" s="61"/>
      <c r="E58" s="62"/>
      <c r="F58" s="60"/>
      <c r="G58" s="60"/>
      <c r="H58" s="60"/>
      <c r="I58" s="60"/>
    </row>
    <row r="59" spans="2:14" x14ac:dyDescent="0.2">
      <c r="C59" s="63" t="s">
        <v>92</v>
      </c>
      <c r="E59" s="64"/>
    </row>
    <row r="61" spans="2:14" x14ac:dyDescent="0.2">
      <c r="C61" s="22" t="s">
        <v>93</v>
      </c>
    </row>
    <row r="62" spans="2:14" x14ac:dyDescent="0.2">
      <c r="C62" s="6" t="s">
        <v>94</v>
      </c>
    </row>
    <row r="63" spans="2:14" ht="26.45" customHeight="1" x14ac:dyDescent="0.2">
      <c r="C63" s="798"/>
      <c r="D63" s="799"/>
      <c r="E63" s="65" t="str">
        <f t="shared" ref="E63:K63" si="4">+C40</f>
        <v>Polena (bukev)</v>
      </c>
      <c r="F63" s="65" t="str">
        <f t="shared" si="4"/>
        <v>Polena (iglavci)</v>
      </c>
      <c r="G63" s="65" t="str">
        <f t="shared" si="4"/>
        <v>Sekanci</v>
      </c>
      <c r="H63" s="65" t="str">
        <f t="shared" si="4"/>
        <v>Peleti</v>
      </c>
      <c r="I63" s="65" t="str">
        <f t="shared" si="4"/>
        <v>ELKO</v>
      </c>
      <c r="J63" s="65" t="str">
        <f t="shared" si="4"/>
        <v>UNP</v>
      </c>
      <c r="K63" s="65" t="str">
        <f t="shared" si="4"/>
        <v>ZP</v>
      </c>
      <c r="L63" s="65" t="s">
        <v>95</v>
      </c>
      <c r="M63" s="65" t="s">
        <v>96</v>
      </c>
      <c r="N63" s="65" t="s">
        <v>97</v>
      </c>
    </row>
    <row r="64" spans="2:14" x14ac:dyDescent="0.2">
      <c r="C64" s="796" t="s">
        <v>98</v>
      </c>
      <c r="D64" s="795"/>
      <c r="E64" s="771">
        <f>(+E77+E81+E86+E90+E95+E101+E107)*E138</f>
        <v>7950</v>
      </c>
      <c r="F64" s="771">
        <f t="shared" ref="F64:N64" si="5">(+F77+F81+F86+F90+F95+F101+F107)*F138</f>
        <v>7950</v>
      </c>
      <c r="G64" s="771">
        <f t="shared" si="5"/>
        <v>11500</v>
      </c>
      <c r="H64" s="771">
        <f t="shared" si="5"/>
        <v>8500</v>
      </c>
      <c r="I64" s="771">
        <f t="shared" si="5"/>
        <v>3300</v>
      </c>
      <c r="J64" s="771">
        <f t="shared" si="5"/>
        <v>3200</v>
      </c>
      <c r="K64" s="771">
        <f t="shared" si="5"/>
        <v>3200</v>
      </c>
      <c r="L64" s="771">
        <f t="shared" si="5"/>
        <v>12000</v>
      </c>
      <c r="M64" s="771">
        <f t="shared" si="5"/>
        <v>6900</v>
      </c>
      <c r="N64" s="771">
        <f t="shared" si="5"/>
        <v>6900</v>
      </c>
    </row>
    <row r="65" spans="2:14" x14ac:dyDescent="0.2">
      <c r="C65" s="66" t="s">
        <v>99</v>
      </c>
      <c r="D65" s="25"/>
      <c r="E65" s="771">
        <f>+E111*E138</f>
        <v>2100</v>
      </c>
      <c r="F65" s="771">
        <f t="shared" ref="F65:N65" si="6">+F111*F138</f>
        <v>2100</v>
      </c>
      <c r="G65" s="771">
        <f t="shared" si="6"/>
        <v>2100</v>
      </c>
      <c r="H65" s="771">
        <f t="shared" si="6"/>
        <v>2100</v>
      </c>
      <c r="I65" s="771">
        <f t="shared" si="6"/>
        <v>2100</v>
      </c>
      <c r="J65" s="771">
        <f t="shared" si="6"/>
        <v>2100</v>
      </c>
      <c r="K65" s="771">
        <f t="shared" si="6"/>
        <v>2100</v>
      </c>
      <c r="L65" s="771">
        <f t="shared" si="6"/>
        <v>2100</v>
      </c>
      <c r="M65" s="771">
        <f t="shared" si="6"/>
        <v>2100</v>
      </c>
      <c r="N65" s="771">
        <f t="shared" si="6"/>
        <v>2100</v>
      </c>
    </row>
    <row r="66" spans="2:14" x14ac:dyDescent="0.2">
      <c r="C66" s="66" t="s">
        <v>100</v>
      </c>
      <c r="D66" s="25"/>
      <c r="E66" s="771">
        <f>+(E116+E124+E136)*E138</f>
        <v>1600</v>
      </c>
      <c r="F66" s="771">
        <f t="shared" ref="F66:N66" si="7">+(F116+F124+F136)*F138</f>
        <v>1600</v>
      </c>
      <c r="G66" s="771">
        <f t="shared" si="7"/>
        <v>9600</v>
      </c>
      <c r="H66" s="771">
        <f t="shared" si="7"/>
        <v>5400</v>
      </c>
      <c r="I66" s="771">
        <f t="shared" si="7"/>
        <v>2400</v>
      </c>
      <c r="J66" s="771">
        <f t="shared" si="7"/>
        <v>950</v>
      </c>
      <c r="K66" s="771">
        <f t="shared" si="7"/>
        <v>2850</v>
      </c>
      <c r="L66" s="771">
        <f t="shared" si="7"/>
        <v>0</v>
      </c>
      <c r="M66" s="771">
        <f t="shared" si="7"/>
        <v>15000</v>
      </c>
      <c r="N66" s="771">
        <f t="shared" si="7"/>
        <v>1900</v>
      </c>
    </row>
    <row r="67" spans="2:14" x14ac:dyDescent="0.2">
      <c r="C67" s="796" t="s">
        <v>101</v>
      </c>
      <c r="D67" s="795"/>
      <c r="E67" s="67">
        <f t="shared" ref="E67:F67" si="8">SUM(E64:E66)</f>
        <v>11650</v>
      </c>
      <c r="F67" s="67">
        <f t="shared" si="8"/>
        <v>11650</v>
      </c>
      <c r="G67" s="67">
        <f t="shared" ref="G67:N67" si="9">SUM(G64:G66)</f>
        <v>23200</v>
      </c>
      <c r="H67" s="67">
        <f t="shared" si="9"/>
        <v>16000</v>
      </c>
      <c r="I67" s="67">
        <f t="shared" si="9"/>
        <v>7800</v>
      </c>
      <c r="J67" s="67">
        <f t="shared" si="9"/>
        <v>6250</v>
      </c>
      <c r="K67" s="67">
        <f t="shared" si="9"/>
        <v>8150</v>
      </c>
      <c r="L67" s="67">
        <f t="shared" si="9"/>
        <v>14100</v>
      </c>
      <c r="M67" s="67">
        <f t="shared" si="9"/>
        <v>24000</v>
      </c>
      <c r="N67" s="67">
        <f t="shared" si="9"/>
        <v>10900</v>
      </c>
    </row>
    <row r="68" spans="2:14" x14ac:dyDescent="0.2">
      <c r="C68" s="794" t="s">
        <v>356</v>
      </c>
      <c r="D68" s="795"/>
      <c r="E68" s="771">
        <v>4000</v>
      </c>
      <c r="F68" s="771">
        <v>4000</v>
      </c>
      <c r="G68" s="771">
        <v>4000</v>
      </c>
      <c r="H68" s="771">
        <v>4000</v>
      </c>
      <c r="I68" s="771">
        <v>0</v>
      </c>
      <c r="J68" s="771">
        <v>0</v>
      </c>
      <c r="K68" s="771">
        <v>2000</v>
      </c>
      <c r="L68" s="771">
        <v>2500</v>
      </c>
      <c r="M68" s="771">
        <v>4000</v>
      </c>
      <c r="N68" s="771">
        <v>4000</v>
      </c>
    </row>
    <row r="69" spans="2:14" x14ac:dyDescent="0.2">
      <c r="C69" s="66" t="s">
        <v>102</v>
      </c>
      <c r="D69" s="25"/>
      <c r="E69" s="67">
        <f t="shared" ref="E69:F69" si="10">E67-E68</f>
        <v>7650</v>
      </c>
      <c r="F69" s="67">
        <f t="shared" si="10"/>
        <v>7650</v>
      </c>
      <c r="G69" s="67">
        <f t="shared" ref="G69:N69" si="11">G67-G68</f>
        <v>19200</v>
      </c>
      <c r="H69" s="67">
        <f t="shared" si="11"/>
        <v>12000</v>
      </c>
      <c r="I69" s="67">
        <f t="shared" si="11"/>
        <v>7800</v>
      </c>
      <c r="J69" s="67">
        <f t="shared" si="11"/>
        <v>6250</v>
      </c>
      <c r="K69" s="67">
        <f t="shared" si="11"/>
        <v>6150</v>
      </c>
      <c r="L69" s="67">
        <f t="shared" si="11"/>
        <v>11600</v>
      </c>
      <c r="M69" s="67">
        <f t="shared" si="11"/>
        <v>20000</v>
      </c>
      <c r="N69" s="67">
        <f t="shared" si="11"/>
        <v>6900</v>
      </c>
    </row>
    <row r="70" spans="2:14" x14ac:dyDescent="0.2">
      <c r="C70" s="728" t="s">
        <v>357</v>
      </c>
      <c r="D70" s="21"/>
      <c r="E70" s="68"/>
      <c r="F70" s="68"/>
      <c r="G70" s="68"/>
      <c r="H70" s="68"/>
      <c r="I70" s="68"/>
      <c r="J70" s="68"/>
    </row>
    <row r="71" spans="2:14" x14ac:dyDescent="0.2">
      <c r="D71" s="21"/>
      <c r="E71" s="68"/>
      <c r="F71" s="68"/>
      <c r="G71" s="68"/>
      <c r="H71" s="68"/>
      <c r="I71" s="68"/>
      <c r="J71" s="68"/>
    </row>
    <row r="72" spans="2:14" ht="13.5" thickBot="1" x14ac:dyDescent="0.25">
      <c r="B72" s="770" t="s">
        <v>358</v>
      </c>
      <c r="D72" s="21"/>
      <c r="E72" s="68"/>
      <c r="F72" s="68"/>
      <c r="G72" s="68"/>
      <c r="H72" s="68"/>
      <c r="I72" s="68"/>
      <c r="J72" s="68"/>
    </row>
    <row r="73" spans="2:14" x14ac:dyDescent="0.2">
      <c r="B73" s="777"/>
      <c r="C73" s="778" t="s">
        <v>322</v>
      </c>
      <c r="D73" s="738"/>
      <c r="E73" s="741"/>
      <c r="F73" s="737"/>
      <c r="G73" s="737"/>
      <c r="H73" s="737"/>
      <c r="I73" s="737"/>
      <c r="J73" s="737"/>
      <c r="K73" s="736"/>
      <c r="L73" s="736"/>
      <c r="M73" s="736"/>
      <c r="N73" s="738"/>
    </row>
    <row r="74" spans="2:14" x14ac:dyDescent="0.2">
      <c r="B74" s="779"/>
      <c r="C74" s="780" t="s">
        <v>324</v>
      </c>
      <c r="D74" s="745">
        <v>7100</v>
      </c>
      <c r="E74" s="772">
        <v>0</v>
      </c>
      <c r="F74" s="773">
        <v>0</v>
      </c>
      <c r="G74" s="773">
        <v>0</v>
      </c>
      <c r="H74" s="773">
        <v>0</v>
      </c>
      <c r="I74" s="773">
        <v>0</v>
      </c>
      <c r="J74" s="773">
        <v>0</v>
      </c>
      <c r="K74" s="773">
        <v>0</v>
      </c>
      <c r="L74" s="773">
        <v>0</v>
      </c>
      <c r="M74" s="773">
        <v>0</v>
      </c>
      <c r="N74" s="774">
        <v>0</v>
      </c>
    </row>
    <row r="75" spans="2:14" x14ac:dyDescent="0.2">
      <c r="B75" s="779"/>
      <c r="C75" s="780" t="s">
        <v>325</v>
      </c>
      <c r="D75" s="745">
        <v>7950</v>
      </c>
      <c r="E75" s="772">
        <v>1</v>
      </c>
      <c r="F75" s="773">
        <v>1</v>
      </c>
      <c r="G75" s="773">
        <v>0</v>
      </c>
      <c r="H75" s="773">
        <v>0</v>
      </c>
      <c r="I75" s="773">
        <v>0</v>
      </c>
      <c r="J75" s="773">
        <v>0</v>
      </c>
      <c r="K75" s="773">
        <v>0</v>
      </c>
      <c r="L75" s="773">
        <v>0</v>
      </c>
      <c r="M75" s="773">
        <v>0</v>
      </c>
      <c r="N75" s="774">
        <v>0</v>
      </c>
    </row>
    <row r="76" spans="2:14" ht="13.5" thickBot="1" x14ac:dyDescent="0.25">
      <c r="B76" s="779"/>
      <c r="C76" s="780" t="s">
        <v>359</v>
      </c>
      <c r="D76" s="745">
        <v>9500</v>
      </c>
      <c r="E76" s="772">
        <v>0</v>
      </c>
      <c r="F76" s="773">
        <v>0</v>
      </c>
      <c r="G76" s="773">
        <v>0</v>
      </c>
      <c r="H76" s="773">
        <v>0</v>
      </c>
      <c r="I76" s="773">
        <v>0</v>
      </c>
      <c r="J76" s="773">
        <v>0</v>
      </c>
      <c r="K76" s="773">
        <v>0</v>
      </c>
      <c r="L76" s="773">
        <v>0</v>
      </c>
      <c r="M76" s="773">
        <v>0</v>
      </c>
      <c r="N76" s="774">
        <v>0</v>
      </c>
    </row>
    <row r="77" spans="2:14" s="727" customFormat="1" ht="11.25" thickBot="1" x14ac:dyDescent="0.2">
      <c r="B77" s="781"/>
      <c r="C77" s="782" t="s">
        <v>323</v>
      </c>
      <c r="D77" s="746"/>
      <c r="E77" s="743">
        <f>+$D$74*E74+$D$75*E75+$D$76*E76</f>
        <v>7950</v>
      </c>
      <c r="F77" s="733">
        <f t="shared" ref="F77:N77" si="12">+$D$74*F74+$D$75*F75+$D$76*F76</f>
        <v>7950</v>
      </c>
      <c r="G77" s="733">
        <f t="shared" si="12"/>
        <v>0</v>
      </c>
      <c r="H77" s="733">
        <f t="shared" si="12"/>
        <v>0</v>
      </c>
      <c r="I77" s="733">
        <f t="shared" si="12"/>
        <v>0</v>
      </c>
      <c r="J77" s="733">
        <f t="shared" si="12"/>
        <v>0</v>
      </c>
      <c r="K77" s="733">
        <f t="shared" si="12"/>
        <v>0</v>
      </c>
      <c r="L77" s="733">
        <f t="shared" si="12"/>
        <v>0</v>
      </c>
      <c r="M77" s="733">
        <f t="shared" si="12"/>
        <v>0</v>
      </c>
      <c r="N77" s="734">
        <f t="shared" si="12"/>
        <v>0</v>
      </c>
    </row>
    <row r="78" spans="2:14" x14ac:dyDescent="0.2">
      <c r="B78" s="783"/>
      <c r="C78" s="784" t="s">
        <v>326</v>
      </c>
      <c r="D78" s="745"/>
      <c r="E78" s="742"/>
      <c r="F78" s="732"/>
      <c r="G78" s="732"/>
      <c r="H78" s="732"/>
      <c r="I78" s="732"/>
      <c r="J78" s="732"/>
      <c r="K78" s="732"/>
      <c r="L78" s="732"/>
      <c r="M78" s="732"/>
      <c r="N78" s="739"/>
    </row>
    <row r="79" spans="2:14" x14ac:dyDescent="0.2">
      <c r="B79" s="779"/>
      <c r="C79" s="780" t="s">
        <v>325</v>
      </c>
      <c r="D79" s="745">
        <v>11500</v>
      </c>
      <c r="E79" s="772">
        <v>0</v>
      </c>
      <c r="F79" s="773">
        <v>0</v>
      </c>
      <c r="G79" s="773">
        <v>1</v>
      </c>
      <c r="H79" s="773">
        <v>0</v>
      </c>
      <c r="I79" s="773">
        <v>0</v>
      </c>
      <c r="J79" s="773">
        <v>0</v>
      </c>
      <c r="K79" s="773">
        <v>0</v>
      </c>
      <c r="L79" s="773">
        <v>0</v>
      </c>
      <c r="M79" s="773">
        <v>0</v>
      </c>
      <c r="N79" s="774">
        <v>0</v>
      </c>
    </row>
    <row r="80" spans="2:14" ht="13.5" thickBot="1" x14ac:dyDescent="0.25">
      <c r="B80" s="779"/>
      <c r="C80" s="780" t="s">
        <v>359</v>
      </c>
      <c r="D80" s="745">
        <v>15400</v>
      </c>
      <c r="E80" s="772">
        <v>0</v>
      </c>
      <c r="F80" s="773">
        <v>0</v>
      </c>
      <c r="G80" s="773">
        <v>0</v>
      </c>
      <c r="H80" s="773">
        <v>0</v>
      </c>
      <c r="I80" s="773">
        <v>0</v>
      </c>
      <c r="J80" s="773">
        <v>0</v>
      </c>
      <c r="K80" s="773">
        <v>0</v>
      </c>
      <c r="L80" s="773">
        <v>0</v>
      </c>
      <c r="M80" s="773">
        <v>0</v>
      </c>
      <c r="N80" s="774">
        <v>0</v>
      </c>
    </row>
    <row r="81" spans="2:14" s="727" customFormat="1" ht="11.25" thickBot="1" x14ac:dyDescent="0.2">
      <c r="B81" s="781"/>
      <c r="C81" s="782" t="s">
        <v>323</v>
      </c>
      <c r="D81" s="746"/>
      <c r="E81" s="743">
        <f>+$D$79*E79+$D$80*E80</f>
        <v>0</v>
      </c>
      <c r="F81" s="743">
        <f t="shared" ref="F81:N81" si="13">+$D$79*F79+$D$80*F80</f>
        <v>0</v>
      </c>
      <c r="G81" s="743">
        <f t="shared" si="13"/>
        <v>11500</v>
      </c>
      <c r="H81" s="743">
        <f t="shared" si="13"/>
        <v>0</v>
      </c>
      <c r="I81" s="743">
        <f t="shared" si="13"/>
        <v>0</v>
      </c>
      <c r="J81" s="743">
        <f t="shared" si="13"/>
        <v>0</v>
      </c>
      <c r="K81" s="743">
        <f t="shared" si="13"/>
        <v>0</v>
      </c>
      <c r="L81" s="743">
        <f t="shared" si="13"/>
        <v>0</v>
      </c>
      <c r="M81" s="743">
        <f t="shared" si="13"/>
        <v>0</v>
      </c>
      <c r="N81" s="743">
        <f t="shared" si="13"/>
        <v>0</v>
      </c>
    </row>
    <row r="82" spans="2:14" x14ac:dyDescent="0.2">
      <c r="B82" s="783"/>
      <c r="C82" s="784" t="s">
        <v>327</v>
      </c>
      <c r="D82" s="745"/>
      <c r="E82" s="742"/>
      <c r="F82" s="732"/>
      <c r="G82" s="732"/>
      <c r="H82" s="732"/>
      <c r="I82" s="732"/>
      <c r="J82" s="732"/>
      <c r="K82" s="732"/>
      <c r="L82" s="732"/>
      <c r="M82" s="732"/>
      <c r="N82" s="739"/>
    </row>
    <row r="83" spans="2:14" x14ac:dyDescent="0.2">
      <c r="B83" s="779"/>
      <c r="C83" s="780" t="s">
        <v>324</v>
      </c>
      <c r="D83" s="745">
        <v>7900</v>
      </c>
      <c r="E83" s="772">
        <v>0</v>
      </c>
      <c r="F83" s="773">
        <v>0</v>
      </c>
      <c r="G83" s="773">
        <v>0</v>
      </c>
      <c r="H83" s="773">
        <v>0</v>
      </c>
      <c r="I83" s="773">
        <v>0</v>
      </c>
      <c r="J83" s="773">
        <v>0</v>
      </c>
      <c r="K83" s="773">
        <v>0</v>
      </c>
      <c r="L83" s="773">
        <v>0</v>
      </c>
      <c r="M83" s="773">
        <v>0</v>
      </c>
      <c r="N83" s="774">
        <v>0</v>
      </c>
    </row>
    <row r="84" spans="2:14" x14ac:dyDescent="0.2">
      <c r="B84" s="779"/>
      <c r="C84" s="780" t="s">
        <v>325</v>
      </c>
      <c r="D84" s="745">
        <v>8500</v>
      </c>
      <c r="E84" s="772">
        <v>0</v>
      </c>
      <c r="F84" s="773">
        <v>0</v>
      </c>
      <c r="G84" s="773">
        <v>0</v>
      </c>
      <c r="H84" s="773">
        <v>1</v>
      </c>
      <c r="I84" s="773">
        <v>0</v>
      </c>
      <c r="J84" s="773">
        <v>0</v>
      </c>
      <c r="K84" s="773">
        <v>0</v>
      </c>
      <c r="L84" s="773">
        <v>0</v>
      </c>
      <c r="M84" s="773">
        <v>0</v>
      </c>
      <c r="N84" s="774">
        <v>0</v>
      </c>
    </row>
    <row r="85" spans="2:14" ht="13.5" thickBot="1" x14ac:dyDescent="0.25">
      <c r="B85" s="779"/>
      <c r="C85" s="780" t="s">
        <v>359</v>
      </c>
      <c r="D85" s="745">
        <v>13500</v>
      </c>
      <c r="E85" s="772">
        <v>0</v>
      </c>
      <c r="F85" s="773">
        <v>0</v>
      </c>
      <c r="G85" s="773">
        <v>0</v>
      </c>
      <c r="H85" s="773">
        <v>0</v>
      </c>
      <c r="I85" s="773">
        <v>0</v>
      </c>
      <c r="J85" s="773">
        <v>0</v>
      </c>
      <c r="K85" s="773">
        <v>0</v>
      </c>
      <c r="L85" s="773">
        <v>0</v>
      </c>
      <c r="M85" s="773">
        <v>0</v>
      </c>
      <c r="N85" s="774">
        <v>0</v>
      </c>
    </row>
    <row r="86" spans="2:14" s="727" customFormat="1" ht="11.25" thickBot="1" x14ac:dyDescent="0.2">
      <c r="B86" s="781"/>
      <c r="C86" s="782" t="s">
        <v>323</v>
      </c>
      <c r="D86" s="746"/>
      <c r="E86" s="743">
        <f>+$D$83*E83+$D$84*E84+$D$85*E85</f>
        <v>0</v>
      </c>
      <c r="F86" s="743">
        <f t="shared" ref="F86:N86" si="14">+$D$83*F83+$D$84*F84+$D$85*F85</f>
        <v>0</v>
      </c>
      <c r="G86" s="743">
        <f t="shared" si="14"/>
        <v>0</v>
      </c>
      <c r="H86" s="743">
        <f t="shared" si="14"/>
        <v>8500</v>
      </c>
      <c r="I86" s="743">
        <f t="shared" si="14"/>
        <v>0</v>
      </c>
      <c r="J86" s="743">
        <f t="shared" si="14"/>
        <v>0</v>
      </c>
      <c r="K86" s="743">
        <f t="shared" si="14"/>
        <v>0</v>
      </c>
      <c r="L86" s="743">
        <f t="shared" si="14"/>
        <v>0</v>
      </c>
      <c r="M86" s="743">
        <f t="shared" si="14"/>
        <v>0</v>
      </c>
      <c r="N86" s="743">
        <f t="shared" si="14"/>
        <v>0</v>
      </c>
    </row>
    <row r="87" spans="2:14" x14ac:dyDescent="0.2">
      <c r="B87" s="783"/>
      <c r="C87" s="784" t="s">
        <v>328</v>
      </c>
      <c r="D87" s="745"/>
      <c r="E87" s="742"/>
      <c r="F87" s="732"/>
      <c r="G87" s="732"/>
      <c r="H87" s="732"/>
      <c r="I87" s="732"/>
      <c r="J87" s="732"/>
      <c r="K87" s="732"/>
      <c r="L87" s="732"/>
      <c r="M87" s="732"/>
      <c r="N87" s="739"/>
    </row>
    <row r="88" spans="2:14" x14ac:dyDescent="0.2">
      <c r="B88" s="779"/>
      <c r="C88" s="780" t="s">
        <v>325</v>
      </c>
      <c r="D88" s="745">
        <v>3300</v>
      </c>
      <c r="E88" s="772">
        <v>0</v>
      </c>
      <c r="F88" s="773">
        <v>0</v>
      </c>
      <c r="G88" s="773">
        <v>0</v>
      </c>
      <c r="H88" s="773">
        <v>0</v>
      </c>
      <c r="I88" s="773">
        <v>1</v>
      </c>
      <c r="J88" s="773">
        <v>0</v>
      </c>
      <c r="K88" s="773">
        <v>0</v>
      </c>
      <c r="L88" s="773">
        <v>0</v>
      </c>
      <c r="M88" s="773">
        <v>0</v>
      </c>
      <c r="N88" s="774">
        <v>0</v>
      </c>
    </row>
    <row r="89" spans="2:14" ht="13.5" thickBot="1" x14ac:dyDescent="0.25">
      <c r="B89" s="779"/>
      <c r="C89" s="780" t="s">
        <v>359</v>
      </c>
      <c r="D89" s="745">
        <v>4100</v>
      </c>
      <c r="E89" s="772">
        <v>0</v>
      </c>
      <c r="F89" s="773">
        <v>0</v>
      </c>
      <c r="G89" s="773">
        <v>0</v>
      </c>
      <c r="H89" s="773">
        <v>0</v>
      </c>
      <c r="I89" s="773">
        <v>0</v>
      </c>
      <c r="J89" s="773">
        <v>0</v>
      </c>
      <c r="K89" s="773">
        <v>0</v>
      </c>
      <c r="L89" s="773">
        <v>0</v>
      </c>
      <c r="M89" s="773">
        <v>0</v>
      </c>
      <c r="N89" s="774">
        <v>0</v>
      </c>
    </row>
    <row r="90" spans="2:14" s="727" customFormat="1" ht="11.25" thickBot="1" x14ac:dyDescent="0.2">
      <c r="B90" s="781"/>
      <c r="C90" s="782" t="s">
        <v>323</v>
      </c>
      <c r="D90" s="746"/>
      <c r="E90" s="743">
        <f>+$D$88*E88+$D$89*E89</f>
        <v>0</v>
      </c>
      <c r="F90" s="743">
        <f t="shared" ref="F90:N90" si="15">+$D$88*F88+$D$89*F89</f>
        <v>0</v>
      </c>
      <c r="G90" s="743">
        <f t="shared" si="15"/>
        <v>0</v>
      </c>
      <c r="H90" s="743">
        <f t="shared" si="15"/>
        <v>0</v>
      </c>
      <c r="I90" s="743">
        <f t="shared" si="15"/>
        <v>3300</v>
      </c>
      <c r="J90" s="743">
        <f t="shared" si="15"/>
        <v>0</v>
      </c>
      <c r="K90" s="743">
        <f t="shared" si="15"/>
        <v>0</v>
      </c>
      <c r="L90" s="743">
        <f t="shared" si="15"/>
        <v>0</v>
      </c>
      <c r="M90" s="743">
        <f t="shared" si="15"/>
        <v>0</v>
      </c>
      <c r="N90" s="743">
        <f t="shared" si="15"/>
        <v>0</v>
      </c>
    </row>
    <row r="91" spans="2:14" x14ac:dyDescent="0.2">
      <c r="B91" s="783"/>
      <c r="C91" s="784" t="s">
        <v>329</v>
      </c>
      <c r="D91" s="745"/>
      <c r="E91" s="742"/>
      <c r="F91" s="732"/>
      <c r="G91" s="732"/>
      <c r="H91" s="732"/>
      <c r="I91" s="732"/>
      <c r="J91" s="732"/>
      <c r="K91" s="732"/>
      <c r="L91" s="732"/>
      <c r="M91" s="732"/>
      <c r="N91" s="739"/>
    </row>
    <row r="92" spans="2:14" x14ac:dyDescent="0.2">
      <c r="B92" s="779"/>
      <c r="C92" s="780" t="s">
        <v>324</v>
      </c>
      <c r="D92" s="745">
        <v>2900</v>
      </c>
      <c r="E92" s="772">
        <v>0</v>
      </c>
      <c r="F92" s="773">
        <v>0</v>
      </c>
      <c r="G92" s="773">
        <v>0</v>
      </c>
      <c r="H92" s="773">
        <v>0</v>
      </c>
      <c r="I92" s="773">
        <v>0</v>
      </c>
      <c r="J92" s="773">
        <v>0</v>
      </c>
      <c r="K92" s="773">
        <v>0</v>
      </c>
      <c r="L92" s="773">
        <v>0</v>
      </c>
      <c r="M92" s="773">
        <v>0</v>
      </c>
      <c r="N92" s="774">
        <v>0</v>
      </c>
    </row>
    <row r="93" spans="2:14" x14ac:dyDescent="0.2">
      <c r="B93" s="785"/>
      <c r="C93" s="786" t="s">
        <v>325</v>
      </c>
      <c r="D93" s="747">
        <v>3200</v>
      </c>
      <c r="E93" s="772">
        <v>0</v>
      </c>
      <c r="F93" s="773">
        <v>0</v>
      </c>
      <c r="G93" s="773">
        <v>0</v>
      </c>
      <c r="H93" s="773">
        <v>0</v>
      </c>
      <c r="I93" s="773">
        <v>0</v>
      </c>
      <c r="J93" s="773">
        <v>1</v>
      </c>
      <c r="K93" s="773">
        <v>1</v>
      </c>
      <c r="L93" s="773">
        <v>0</v>
      </c>
      <c r="M93" s="773">
        <v>0</v>
      </c>
      <c r="N93" s="774">
        <v>0</v>
      </c>
    </row>
    <row r="94" spans="2:14" ht="13.5" thickBot="1" x14ac:dyDescent="0.25">
      <c r="B94" s="779"/>
      <c r="C94" s="780" t="s">
        <v>359</v>
      </c>
      <c r="D94" s="745">
        <v>3900</v>
      </c>
      <c r="E94" s="772">
        <v>0</v>
      </c>
      <c r="F94" s="773">
        <v>0</v>
      </c>
      <c r="G94" s="773">
        <v>0</v>
      </c>
      <c r="H94" s="773">
        <v>0</v>
      </c>
      <c r="I94" s="773">
        <v>0</v>
      </c>
      <c r="J94" s="773">
        <v>0</v>
      </c>
      <c r="K94" s="773">
        <v>0</v>
      </c>
      <c r="L94" s="773">
        <v>0</v>
      </c>
      <c r="M94" s="773">
        <v>0</v>
      </c>
      <c r="N94" s="774">
        <v>0</v>
      </c>
    </row>
    <row r="95" spans="2:14" s="727" customFormat="1" ht="11.25" thickBot="1" x14ac:dyDescent="0.2">
      <c r="B95" s="781"/>
      <c r="C95" s="782" t="s">
        <v>323</v>
      </c>
      <c r="D95" s="746"/>
      <c r="E95" s="743">
        <f>+$D$92*E92+$D$93*E93+$D$94*E94</f>
        <v>0</v>
      </c>
      <c r="F95" s="743">
        <f t="shared" ref="F95:N95" si="16">+$D$92*F92+$D$93*F93+$D$94*F94</f>
        <v>0</v>
      </c>
      <c r="G95" s="743">
        <f t="shared" si="16"/>
        <v>0</v>
      </c>
      <c r="H95" s="743">
        <f t="shared" si="16"/>
        <v>0</v>
      </c>
      <c r="I95" s="743">
        <f t="shared" si="16"/>
        <v>0</v>
      </c>
      <c r="J95" s="743">
        <f t="shared" si="16"/>
        <v>3200</v>
      </c>
      <c r="K95" s="743">
        <f t="shared" si="16"/>
        <v>3200</v>
      </c>
      <c r="L95" s="743">
        <f t="shared" si="16"/>
        <v>0</v>
      </c>
      <c r="M95" s="743">
        <f t="shared" si="16"/>
        <v>0</v>
      </c>
      <c r="N95" s="743">
        <f t="shared" si="16"/>
        <v>0</v>
      </c>
    </row>
    <row r="96" spans="2:14" x14ac:dyDescent="0.2">
      <c r="B96" s="787"/>
      <c r="C96" s="788" t="s">
        <v>95</v>
      </c>
      <c r="D96" s="748"/>
      <c r="E96" s="744"/>
      <c r="F96" s="735"/>
      <c r="G96" s="735"/>
      <c r="H96" s="735"/>
      <c r="I96" s="735"/>
      <c r="J96" s="735"/>
      <c r="K96" s="735"/>
      <c r="L96" s="735"/>
      <c r="M96" s="735"/>
      <c r="N96" s="740"/>
    </row>
    <row r="97" spans="2:14" x14ac:dyDescent="0.2">
      <c r="B97" s="783"/>
      <c r="C97" s="780" t="s">
        <v>330</v>
      </c>
      <c r="D97" s="745">
        <v>5500</v>
      </c>
      <c r="E97" s="772">
        <v>0</v>
      </c>
      <c r="F97" s="773">
        <v>0</v>
      </c>
      <c r="G97" s="773">
        <v>0</v>
      </c>
      <c r="H97" s="773">
        <v>0</v>
      </c>
      <c r="I97" s="773">
        <v>0</v>
      </c>
      <c r="J97" s="773">
        <v>0</v>
      </c>
      <c r="K97" s="773">
        <v>0</v>
      </c>
      <c r="L97" s="773">
        <v>0</v>
      </c>
      <c r="M97" s="773">
        <v>0</v>
      </c>
      <c r="N97" s="774">
        <v>0</v>
      </c>
    </row>
    <row r="98" spans="2:14" x14ac:dyDescent="0.2">
      <c r="B98" s="779"/>
      <c r="C98" s="780" t="s">
        <v>324</v>
      </c>
      <c r="D98" s="745">
        <v>9800</v>
      </c>
      <c r="E98" s="772">
        <v>0</v>
      </c>
      <c r="F98" s="773">
        <v>0</v>
      </c>
      <c r="G98" s="773">
        <v>0</v>
      </c>
      <c r="H98" s="773">
        <v>0</v>
      </c>
      <c r="I98" s="773">
        <v>0</v>
      </c>
      <c r="J98" s="773">
        <v>0</v>
      </c>
      <c r="K98" s="773">
        <v>0</v>
      </c>
      <c r="L98" s="773">
        <v>0</v>
      </c>
      <c r="M98" s="773">
        <v>0</v>
      </c>
      <c r="N98" s="774">
        <v>0</v>
      </c>
    </row>
    <row r="99" spans="2:14" x14ac:dyDescent="0.2">
      <c r="B99" s="785"/>
      <c r="C99" s="786" t="s">
        <v>325</v>
      </c>
      <c r="D99" s="747">
        <v>12000</v>
      </c>
      <c r="E99" s="772">
        <v>0</v>
      </c>
      <c r="F99" s="773">
        <v>0</v>
      </c>
      <c r="G99" s="773">
        <v>0</v>
      </c>
      <c r="H99" s="773">
        <v>0</v>
      </c>
      <c r="I99" s="773">
        <v>0</v>
      </c>
      <c r="J99" s="773">
        <v>0</v>
      </c>
      <c r="K99" s="773">
        <v>0</v>
      </c>
      <c r="L99" s="773">
        <v>1</v>
      </c>
      <c r="M99" s="773">
        <v>0</v>
      </c>
      <c r="N99" s="774">
        <v>0</v>
      </c>
    </row>
    <row r="100" spans="2:14" ht="13.5" thickBot="1" x14ac:dyDescent="0.25">
      <c r="B100" s="779"/>
      <c r="C100" s="780" t="s">
        <v>359</v>
      </c>
      <c r="D100" s="745">
        <v>17000</v>
      </c>
      <c r="E100" s="772">
        <v>0</v>
      </c>
      <c r="F100" s="773">
        <v>0</v>
      </c>
      <c r="G100" s="773">
        <v>0</v>
      </c>
      <c r="H100" s="773">
        <v>0</v>
      </c>
      <c r="I100" s="773">
        <v>0</v>
      </c>
      <c r="J100" s="773">
        <v>0</v>
      </c>
      <c r="K100" s="773">
        <v>0</v>
      </c>
      <c r="L100" s="773">
        <v>0</v>
      </c>
      <c r="M100" s="773">
        <v>0</v>
      </c>
      <c r="N100" s="774">
        <v>0</v>
      </c>
    </row>
    <row r="101" spans="2:14" s="727" customFormat="1" ht="11.25" thickBot="1" x14ac:dyDescent="0.2">
      <c r="B101" s="781"/>
      <c r="C101" s="782" t="s">
        <v>323</v>
      </c>
      <c r="D101" s="746"/>
      <c r="E101" s="743">
        <f>+$D$97*E97+$D$98*E98+$D$99*E99+$D$100*E100</f>
        <v>0</v>
      </c>
      <c r="F101" s="743">
        <f t="shared" ref="F101:N101" si="17">+$D$97*F97+$D$98*F98+$D$99*F99+$D$100*F100</f>
        <v>0</v>
      </c>
      <c r="G101" s="743">
        <f t="shared" si="17"/>
        <v>0</v>
      </c>
      <c r="H101" s="743">
        <f t="shared" si="17"/>
        <v>0</v>
      </c>
      <c r="I101" s="743">
        <f t="shared" si="17"/>
        <v>0</v>
      </c>
      <c r="J101" s="743">
        <f t="shared" si="17"/>
        <v>0</v>
      </c>
      <c r="K101" s="743">
        <f t="shared" si="17"/>
        <v>0</v>
      </c>
      <c r="L101" s="743">
        <f t="shared" si="17"/>
        <v>12000</v>
      </c>
      <c r="M101" s="743">
        <f t="shared" si="17"/>
        <v>0</v>
      </c>
      <c r="N101" s="743">
        <f t="shared" si="17"/>
        <v>0</v>
      </c>
    </row>
    <row r="102" spans="2:14" x14ac:dyDescent="0.2">
      <c r="B102" s="787"/>
      <c r="C102" s="788" t="s">
        <v>331</v>
      </c>
      <c r="D102" s="748"/>
      <c r="E102" s="744"/>
      <c r="F102" s="735"/>
      <c r="G102" s="735"/>
      <c r="H102" s="735"/>
      <c r="I102" s="735"/>
      <c r="J102" s="735"/>
      <c r="K102" s="735"/>
      <c r="L102" s="735"/>
      <c r="M102" s="735"/>
      <c r="N102" s="740"/>
    </row>
    <row r="103" spans="2:14" x14ac:dyDescent="0.2">
      <c r="B103" s="783"/>
      <c r="C103" s="780" t="s">
        <v>330</v>
      </c>
      <c r="D103" s="745">
        <v>3900</v>
      </c>
      <c r="E103" s="772">
        <v>0</v>
      </c>
      <c r="F103" s="773">
        <v>0</v>
      </c>
      <c r="G103" s="773">
        <v>0</v>
      </c>
      <c r="H103" s="773">
        <v>0</v>
      </c>
      <c r="I103" s="773">
        <v>0</v>
      </c>
      <c r="J103" s="773">
        <v>0</v>
      </c>
      <c r="K103" s="773">
        <v>0</v>
      </c>
      <c r="L103" s="773">
        <v>0</v>
      </c>
      <c r="M103" s="773">
        <v>0</v>
      </c>
      <c r="N103" s="774">
        <v>0</v>
      </c>
    </row>
    <row r="104" spans="2:14" x14ac:dyDescent="0.2">
      <c r="B104" s="779"/>
      <c r="C104" s="780" t="s">
        <v>324</v>
      </c>
      <c r="D104" s="745">
        <v>4900</v>
      </c>
      <c r="E104" s="772">
        <v>0</v>
      </c>
      <c r="F104" s="773">
        <v>0</v>
      </c>
      <c r="G104" s="773">
        <v>0</v>
      </c>
      <c r="H104" s="773">
        <v>0</v>
      </c>
      <c r="I104" s="773">
        <v>0</v>
      </c>
      <c r="J104" s="773">
        <v>0</v>
      </c>
      <c r="K104" s="773">
        <v>0</v>
      </c>
      <c r="L104" s="773">
        <v>0</v>
      </c>
      <c r="M104" s="773">
        <v>0</v>
      </c>
      <c r="N104" s="774">
        <v>0</v>
      </c>
    </row>
    <row r="105" spans="2:14" x14ac:dyDescent="0.2">
      <c r="B105" s="785"/>
      <c r="C105" s="786" t="s">
        <v>325</v>
      </c>
      <c r="D105" s="747">
        <v>6900</v>
      </c>
      <c r="E105" s="772">
        <v>0</v>
      </c>
      <c r="F105" s="773">
        <v>0</v>
      </c>
      <c r="G105" s="773">
        <v>0</v>
      </c>
      <c r="H105" s="773">
        <v>0</v>
      </c>
      <c r="I105" s="773">
        <v>0</v>
      </c>
      <c r="J105" s="773">
        <v>0</v>
      </c>
      <c r="K105" s="773">
        <v>0</v>
      </c>
      <c r="L105" s="773">
        <v>0</v>
      </c>
      <c r="M105" s="773">
        <v>1</v>
      </c>
      <c r="N105" s="774">
        <v>1</v>
      </c>
    </row>
    <row r="106" spans="2:14" ht="13.5" thickBot="1" x14ac:dyDescent="0.25">
      <c r="B106" s="779"/>
      <c r="C106" s="780" t="s">
        <v>359</v>
      </c>
      <c r="D106" s="745">
        <v>9500</v>
      </c>
      <c r="E106" s="772">
        <v>0</v>
      </c>
      <c r="F106" s="773">
        <v>0</v>
      </c>
      <c r="G106" s="773">
        <v>0</v>
      </c>
      <c r="H106" s="773">
        <v>0</v>
      </c>
      <c r="I106" s="773">
        <v>0</v>
      </c>
      <c r="J106" s="773">
        <v>0</v>
      </c>
      <c r="K106" s="773">
        <v>0</v>
      </c>
      <c r="L106" s="773">
        <v>0</v>
      </c>
      <c r="M106" s="773">
        <v>0</v>
      </c>
      <c r="N106" s="774">
        <v>0</v>
      </c>
    </row>
    <row r="107" spans="2:14" s="727" customFormat="1" ht="11.25" thickBot="1" x14ac:dyDescent="0.2">
      <c r="B107" s="781"/>
      <c r="C107" s="782" t="s">
        <v>323</v>
      </c>
      <c r="D107" s="746"/>
      <c r="E107" s="743">
        <f>+$D$103*E103+$D$104*E104+$D$105*E105+$D$106*E106</f>
        <v>0</v>
      </c>
      <c r="F107" s="743">
        <f t="shared" ref="F107:N107" si="18">+$D$103*F103+$D$104*F104+$D$105*F105+$D$106*F106</f>
        <v>0</v>
      </c>
      <c r="G107" s="743">
        <f t="shared" si="18"/>
        <v>0</v>
      </c>
      <c r="H107" s="743">
        <f t="shared" si="18"/>
        <v>0</v>
      </c>
      <c r="I107" s="743">
        <f t="shared" si="18"/>
        <v>0</v>
      </c>
      <c r="J107" s="743">
        <f t="shared" si="18"/>
        <v>0</v>
      </c>
      <c r="K107" s="743">
        <f t="shared" si="18"/>
        <v>0</v>
      </c>
      <c r="L107" s="743">
        <f t="shared" si="18"/>
        <v>0</v>
      </c>
      <c r="M107" s="743">
        <f t="shared" si="18"/>
        <v>6900</v>
      </c>
      <c r="N107" s="743">
        <f t="shared" si="18"/>
        <v>6900</v>
      </c>
    </row>
    <row r="108" spans="2:14" x14ac:dyDescent="0.2">
      <c r="B108" s="758"/>
      <c r="C108" s="769" t="s">
        <v>332</v>
      </c>
      <c r="D108" s="738"/>
      <c r="E108" s="751"/>
      <c r="F108" s="749"/>
      <c r="G108" s="749"/>
      <c r="H108" s="749"/>
      <c r="I108" s="749"/>
      <c r="J108" s="749"/>
      <c r="K108" s="749"/>
      <c r="L108" s="749"/>
      <c r="M108" s="749"/>
      <c r="N108" s="750"/>
    </row>
    <row r="109" spans="2:14" x14ac:dyDescent="0.2">
      <c r="B109" s="752"/>
      <c r="C109" s="753" t="s">
        <v>333</v>
      </c>
      <c r="D109" s="745">
        <v>800</v>
      </c>
      <c r="E109" s="772">
        <v>0</v>
      </c>
      <c r="F109" s="773">
        <v>0</v>
      </c>
      <c r="G109" s="773">
        <v>0</v>
      </c>
      <c r="H109" s="773">
        <v>0</v>
      </c>
      <c r="I109" s="773">
        <v>0</v>
      </c>
      <c r="J109" s="773">
        <v>0</v>
      </c>
      <c r="K109" s="773">
        <v>0</v>
      </c>
      <c r="L109" s="773">
        <v>0</v>
      </c>
      <c r="M109" s="773">
        <v>0</v>
      </c>
      <c r="N109" s="774">
        <v>0</v>
      </c>
    </row>
    <row r="110" spans="2:14" ht="13.5" thickBot="1" x14ac:dyDescent="0.25">
      <c r="B110" s="754"/>
      <c r="C110" s="755" t="s">
        <v>334</v>
      </c>
      <c r="D110" s="747">
        <v>2100</v>
      </c>
      <c r="E110" s="772">
        <v>1</v>
      </c>
      <c r="F110" s="773">
        <v>1</v>
      </c>
      <c r="G110" s="773">
        <v>1</v>
      </c>
      <c r="H110" s="773">
        <v>1</v>
      </c>
      <c r="I110" s="773">
        <v>1</v>
      </c>
      <c r="J110" s="773">
        <v>1</v>
      </c>
      <c r="K110" s="773">
        <v>1</v>
      </c>
      <c r="L110" s="773">
        <v>1</v>
      </c>
      <c r="M110" s="773">
        <v>1</v>
      </c>
      <c r="N110" s="774">
        <v>1</v>
      </c>
    </row>
    <row r="111" spans="2:14" s="727" customFormat="1" ht="11.25" thickBot="1" x14ac:dyDescent="0.2">
      <c r="B111" s="756"/>
      <c r="C111" s="757" t="s">
        <v>323</v>
      </c>
      <c r="D111" s="746"/>
      <c r="E111" s="743">
        <f>+$D$109*E109+$D$110*E110</f>
        <v>2100</v>
      </c>
      <c r="F111" s="733">
        <f t="shared" ref="F111:N111" si="19">+$D$109*F109+$D$110*F110</f>
        <v>2100</v>
      </c>
      <c r="G111" s="733">
        <f t="shared" si="19"/>
        <v>2100</v>
      </c>
      <c r="H111" s="733">
        <f t="shared" si="19"/>
        <v>2100</v>
      </c>
      <c r="I111" s="733">
        <f t="shared" si="19"/>
        <v>2100</v>
      </c>
      <c r="J111" s="733">
        <f t="shared" si="19"/>
        <v>2100</v>
      </c>
      <c r="K111" s="733">
        <f t="shared" si="19"/>
        <v>2100</v>
      </c>
      <c r="L111" s="733">
        <f t="shared" si="19"/>
        <v>2100</v>
      </c>
      <c r="M111" s="733">
        <f t="shared" si="19"/>
        <v>2100</v>
      </c>
      <c r="N111" s="734">
        <f t="shared" si="19"/>
        <v>2100</v>
      </c>
    </row>
    <row r="112" spans="2:14" x14ac:dyDescent="0.2">
      <c r="B112" s="759"/>
      <c r="C112" s="767" t="s">
        <v>345</v>
      </c>
      <c r="D112" s="748"/>
      <c r="E112" s="744"/>
      <c r="F112" s="735"/>
      <c r="G112" s="735"/>
      <c r="H112" s="735"/>
      <c r="I112" s="735"/>
      <c r="J112" s="735"/>
      <c r="K112" s="735"/>
      <c r="L112" s="735"/>
      <c r="M112" s="735"/>
      <c r="N112" s="740"/>
    </row>
    <row r="113" spans="2:14" x14ac:dyDescent="0.2">
      <c r="B113" s="760"/>
      <c r="C113" s="761" t="s">
        <v>355</v>
      </c>
      <c r="D113" s="745">
        <v>950</v>
      </c>
      <c r="E113" s="772">
        <v>0</v>
      </c>
      <c r="F113" s="773">
        <v>0</v>
      </c>
      <c r="G113" s="773">
        <v>0</v>
      </c>
      <c r="H113" s="773">
        <v>0</v>
      </c>
      <c r="I113" s="773">
        <v>0</v>
      </c>
      <c r="J113" s="773">
        <v>1</v>
      </c>
      <c r="K113" s="773">
        <v>1</v>
      </c>
      <c r="L113" s="773">
        <v>0</v>
      </c>
      <c r="M113" s="773">
        <v>0</v>
      </c>
      <c r="N113" s="774">
        <v>0</v>
      </c>
    </row>
    <row r="114" spans="2:14" x14ac:dyDescent="0.2">
      <c r="B114" s="760"/>
      <c r="C114" s="761" t="s">
        <v>354</v>
      </c>
      <c r="D114" s="745">
        <v>1600</v>
      </c>
      <c r="E114" s="772">
        <v>1</v>
      </c>
      <c r="F114" s="773">
        <v>1</v>
      </c>
      <c r="G114" s="773">
        <v>1</v>
      </c>
      <c r="H114" s="773">
        <v>1</v>
      </c>
      <c r="I114" s="773">
        <v>1</v>
      </c>
      <c r="J114" s="773">
        <v>0</v>
      </c>
      <c r="K114" s="773">
        <v>0</v>
      </c>
      <c r="L114" s="773">
        <v>0</v>
      </c>
      <c r="M114" s="773">
        <v>0</v>
      </c>
      <c r="N114" s="774">
        <v>0</v>
      </c>
    </row>
    <row r="115" spans="2:14" ht="13.5" thickBot="1" x14ac:dyDescent="0.25">
      <c r="B115" s="762"/>
      <c r="C115" s="763" t="s">
        <v>346</v>
      </c>
      <c r="D115" s="747">
        <v>2900</v>
      </c>
      <c r="E115" s="772">
        <v>0</v>
      </c>
      <c r="F115" s="773">
        <v>0</v>
      </c>
      <c r="G115" s="773">
        <v>0</v>
      </c>
      <c r="H115" s="773">
        <v>0</v>
      </c>
      <c r="I115" s="773">
        <v>0</v>
      </c>
      <c r="J115" s="773">
        <v>0</v>
      </c>
      <c r="K115" s="773">
        <v>0</v>
      </c>
      <c r="L115" s="773">
        <v>0</v>
      </c>
      <c r="M115" s="773">
        <v>0</v>
      </c>
      <c r="N115" s="774">
        <v>0</v>
      </c>
    </row>
    <row r="116" spans="2:14" s="727" customFormat="1" ht="11.25" thickBot="1" x14ac:dyDescent="0.2">
      <c r="B116" s="764"/>
      <c r="C116" s="765" t="s">
        <v>323</v>
      </c>
      <c r="D116" s="746"/>
      <c r="E116" s="743">
        <f>+$D$113*E113+$D$114*E114+$D$115*E115</f>
        <v>1600</v>
      </c>
      <c r="F116" s="743">
        <f t="shared" ref="F116:N116" si="20">+$D$113*F113+$D$114*F114+$D$115*F115</f>
        <v>1600</v>
      </c>
      <c r="G116" s="743">
        <f t="shared" si="20"/>
        <v>1600</v>
      </c>
      <c r="H116" s="743">
        <f t="shared" si="20"/>
        <v>1600</v>
      </c>
      <c r="I116" s="743">
        <f t="shared" si="20"/>
        <v>1600</v>
      </c>
      <c r="J116" s="743">
        <f t="shared" si="20"/>
        <v>950</v>
      </c>
      <c r="K116" s="743">
        <f t="shared" si="20"/>
        <v>950</v>
      </c>
      <c r="L116" s="743">
        <f t="shared" si="20"/>
        <v>0</v>
      </c>
      <c r="M116" s="743">
        <f t="shared" si="20"/>
        <v>0</v>
      </c>
      <c r="N116" s="743">
        <f t="shared" si="20"/>
        <v>0</v>
      </c>
    </row>
    <row r="117" spans="2:14" x14ac:dyDescent="0.2">
      <c r="B117" s="766"/>
      <c r="C117" s="768" t="s">
        <v>335</v>
      </c>
      <c r="D117" s="738"/>
      <c r="E117" s="751"/>
      <c r="F117" s="749"/>
      <c r="G117" s="749"/>
      <c r="H117" s="749"/>
      <c r="I117" s="749"/>
      <c r="J117" s="749"/>
      <c r="K117" s="749"/>
      <c r="L117" s="749"/>
      <c r="M117" s="749"/>
      <c r="N117" s="750"/>
    </row>
    <row r="118" spans="2:14" x14ac:dyDescent="0.2">
      <c r="B118" s="760"/>
      <c r="C118" s="761" t="s">
        <v>349</v>
      </c>
      <c r="D118" s="745">
        <v>800</v>
      </c>
      <c r="E118" s="772">
        <v>0</v>
      </c>
      <c r="F118" s="773">
        <v>0</v>
      </c>
      <c r="G118" s="773">
        <v>0</v>
      </c>
      <c r="H118" s="773">
        <v>1</v>
      </c>
      <c r="I118" s="773">
        <v>0</v>
      </c>
      <c r="J118" s="773">
        <v>0</v>
      </c>
      <c r="K118" s="773">
        <v>0</v>
      </c>
      <c r="L118" s="773">
        <v>0</v>
      </c>
      <c r="M118" s="773">
        <v>0</v>
      </c>
      <c r="N118" s="774">
        <v>0</v>
      </c>
    </row>
    <row r="119" spans="2:14" x14ac:dyDescent="0.2">
      <c r="B119" s="760"/>
      <c r="C119" s="761" t="s">
        <v>347</v>
      </c>
      <c r="D119" s="745">
        <v>4500</v>
      </c>
      <c r="E119" s="772">
        <v>0</v>
      </c>
      <c r="F119" s="773">
        <v>0</v>
      </c>
      <c r="G119" s="773">
        <v>1</v>
      </c>
      <c r="H119" s="773">
        <v>0</v>
      </c>
      <c r="I119" s="773">
        <v>0</v>
      </c>
      <c r="J119" s="773">
        <v>0</v>
      </c>
      <c r="K119" s="773">
        <v>0</v>
      </c>
      <c r="L119" s="773">
        <v>0</v>
      </c>
      <c r="M119" s="773">
        <v>0</v>
      </c>
      <c r="N119" s="774">
        <v>0</v>
      </c>
    </row>
    <row r="120" spans="2:14" x14ac:dyDescent="0.2">
      <c r="B120" s="760"/>
      <c r="C120" s="761" t="s">
        <v>353</v>
      </c>
      <c r="D120" s="745">
        <v>3500</v>
      </c>
      <c r="E120" s="772">
        <v>0</v>
      </c>
      <c r="F120" s="773">
        <v>0</v>
      </c>
      <c r="G120" s="773">
        <v>1</v>
      </c>
      <c r="H120" s="773">
        <v>0</v>
      </c>
      <c r="I120" s="773">
        <v>0</v>
      </c>
      <c r="J120" s="773">
        <v>0</v>
      </c>
      <c r="K120" s="773">
        <v>0</v>
      </c>
      <c r="L120" s="773">
        <v>0</v>
      </c>
      <c r="M120" s="773">
        <v>0</v>
      </c>
      <c r="N120" s="774">
        <v>0</v>
      </c>
    </row>
    <row r="121" spans="2:14" x14ac:dyDescent="0.2">
      <c r="B121" s="760"/>
      <c r="C121" s="761" t="s">
        <v>348</v>
      </c>
      <c r="D121" s="745">
        <v>3000</v>
      </c>
      <c r="E121" s="772">
        <v>0</v>
      </c>
      <c r="F121" s="773">
        <v>0</v>
      </c>
      <c r="G121" s="773">
        <v>0</v>
      </c>
      <c r="H121" s="773">
        <v>1</v>
      </c>
      <c r="I121" s="773">
        <v>0</v>
      </c>
      <c r="J121" s="773">
        <v>0</v>
      </c>
      <c r="K121" s="773">
        <v>0</v>
      </c>
      <c r="L121" s="773">
        <v>0</v>
      </c>
      <c r="M121" s="773">
        <v>0</v>
      </c>
      <c r="N121" s="774">
        <v>0</v>
      </c>
    </row>
    <row r="122" spans="2:14" x14ac:dyDescent="0.2">
      <c r="B122" s="760"/>
      <c r="C122" s="761" t="s">
        <v>352</v>
      </c>
      <c r="D122" s="745">
        <v>800</v>
      </c>
      <c r="E122" s="772">
        <v>0</v>
      </c>
      <c r="F122" s="773">
        <v>0</v>
      </c>
      <c r="G122" s="773">
        <v>0</v>
      </c>
      <c r="H122" s="773">
        <v>0</v>
      </c>
      <c r="I122" s="773">
        <v>1</v>
      </c>
      <c r="J122" s="773">
        <v>0</v>
      </c>
      <c r="K122" s="773">
        <v>0</v>
      </c>
      <c r="L122" s="773">
        <v>0</v>
      </c>
      <c r="M122" s="773">
        <v>0</v>
      </c>
      <c r="N122" s="774">
        <v>0</v>
      </c>
    </row>
    <row r="123" spans="2:14" ht="13.5" thickBot="1" x14ac:dyDescent="0.25">
      <c r="B123" s="762"/>
      <c r="C123" s="763" t="s">
        <v>350</v>
      </c>
      <c r="D123" s="747">
        <v>1900</v>
      </c>
      <c r="E123" s="772">
        <v>0</v>
      </c>
      <c r="F123" s="773">
        <v>0</v>
      </c>
      <c r="G123" s="773">
        <v>0</v>
      </c>
      <c r="H123" s="773">
        <v>0</v>
      </c>
      <c r="I123" s="773">
        <v>0</v>
      </c>
      <c r="J123" s="773">
        <v>0</v>
      </c>
      <c r="K123" s="773">
        <v>1</v>
      </c>
      <c r="L123" s="773">
        <v>0</v>
      </c>
      <c r="M123" s="773">
        <v>0</v>
      </c>
      <c r="N123" s="774">
        <v>0</v>
      </c>
    </row>
    <row r="124" spans="2:14" s="727" customFormat="1" ht="11.25" thickBot="1" x14ac:dyDescent="0.2">
      <c r="B124" s="764"/>
      <c r="C124" s="765" t="s">
        <v>323</v>
      </c>
      <c r="D124" s="746"/>
      <c r="E124" s="743">
        <f t="shared" ref="E124:N124" si="21">+$D$118*E118+$D$119*E119+$D$120*E120+$D$121*E121+$D$122*E122+$D$123*E123</f>
        <v>0</v>
      </c>
      <c r="F124" s="733">
        <f t="shared" si="21"/>
        <v>0</v>
      </c>
      <c r="G124" s="733">
        <f t="shared" si="21"/>
        <v>8000</v>
      </c>
      <c r="H124" s="733">
        <f t="shared" si="21"/>
        <v>3800</v>
      </c>
      <c r="I124" s="733">
        <f t="shared" si="21"/>
        <v>800</v>
      </c>
      <c r="J124" s="733">
        <f t="shared" si="21"/>
        <v>0</v>
      </c>
      <c r="K124" s="733">
        <f t="shared" si="21"/>
        <v>1900</v>
      </c>
      <c r="L124" s="733">
        <f t="shared" si="21"/>
        <v>0</v>
      </c>
      <c r="M124" s="733">
        <f t="shared" si="21"/>
        <v>0</v>
      </c>
      <c r="N124" s="734">
        <f t="shared" si="21"/>
        <v>0</v>
      </c>
    </row>
    <row r="125" spans="2:14" x14ac:dyDescent="0.2">
      <c r="B125" s="759"/>
      <c r="C125" s="767" t="s">
        <v>336</v>
      </c>
      <c r="D125" s="748"/>
      <c r="E125" s="744"/>
      <c r="F125" s="735"/>
      <c r="G125" s="735"/>
      <c r="H125" s="735"/>
      <c r="I125" s="735"/>
      <c r="J125" s="735"/>
      <c r="K125" s="735"/>
      <c r="L125" s="735"/>
      <c r="M125" s="735"/>
      <c r="N125" s="740"/>
    </row>
    <row r="126" spans="2:14" x14ac:dyDescent="0.2">
      <c r="B126" s="760"/>
      <c r="C126" s="761" t="s">
        <v>337</v>
      </c>
      <c r="D126" s="745">
        <v>6000</v>
      </c>
      <c r="E126" s="772">
        <v>0</v>
      </c>
      <c r="F126" s="773">
        <v>0</v>
      </c>
      <c r="G126" s="773">
        <v>0</v>
      </c>
      <c r="H126" s="773">
        <v>0</v>
      </c>
      <c r="I126" s="773">
        <v>0</v>
      </c>
      <c r="J126" s="773">
        <v>0</v>
      </c>
      <c r="K126" s="773">
        <v>0</v>
      </c>
      <c r="L126" s="773">
        <v>0</v>
      </c>
      <c r="M126" s="773">
        <v>0</v>
      </c>
      <c r="N126" s="774">
        <v>0</v>
      </c>
    </row>
    <row r="127" spans="2:14" x14ac:dyDescent="0.2">
      <c r="B127" s="760"/>
      <c r="C127" s="761" t="s">
        <v>338</v>
      </c>
      <c r="D127" s="745">
        <v>9000</v>
      </c>
      <c r="E127" s="772">
        <v>0</v>
      </c>
      <c r="F127" s="773">
        <v>0</v>
      </c>
      <c r="G127" s="773">
        <v>0</v>
      </c>
      <c r="H127" s="773">
        <v>0</v>
      </c>
      <c r="I127" s="773">
        <v>0</v>
      </c>
      <c r="J127" s="773">
        <v>0</v>
      </c>
      <c r="K127" s="773">
        <v>0</v>
      </c>
      <c r="L127" s="773">
        <v>0</v>
      </c>
      <c r="M127" s="773">
        <v>0</v>
      </c>
      <c r="N127" s="774">
        <v>0</v>
      </c>
    </row>
    <row r="128" spans="2:14" x14ac:dyDescent="0.2">
      <c r="B128" s="760"/>
      <c r="C128" s="761" t="s">
        <v>339</v>
      </c>
      <c r="D128" s="745">
        <v>15000</v>
      </c>
      <c r="E128" s="772">
        <v>0</v>
      </c>
      <c r="F128" s="773">
        <v>0</v>
      </c>
      <c r="G128" s="773">
        <v>0</v>
      </c>
      <c r="H128" s="773">
        <v>0</v>
      </c>
      <c r="I128" s="773">
        <v>0</v>
      </c>
      <c r="J128" s="773">
        <v>0</v>
      </c>
      <c r="K128" s="773">
        <v>0</v>
      </c>
      <c r="L128" s="773">
        <v>0</v>
      </c>
      <c r="M128" s="773">
        <v>1</v>
      </c>
      <c r="N128" s="774">
        <v>0</v>
      </c>
    </row>
    <row r="129" spans="2:17" x14ac:dyDescent="0.2">
      <c r="B129" s="760"/>
      <c r="C129" s="761" t="s">
        <v>361</v>
      </c>
      <c r="D129" s="745">
        <v>23000</v>
      </c>
      <c r="E129" s="772">
        <v>0</v>
      </c>
      <c r="F129" s="773">
        <v>0</v>
      </c>
      <c r="G129" s="773">
        <v>0</v>
      </c>
      <c r="H129" s="773">
        <v>0</v>
      </c>
      <c r="I129" s="773">
        <v>0</v>
      </c>
      <c r="J129" s="773">
        <v>0</v>
      </c>
      <c r="K129" s="773">
        <v>0</v>
      </c>
      <c r="L129" s="773">
        <v>0</v>
      </c>
      <c r="M129" s="773">
        <v>0</v>
      </c>
      <c r="N129" s="774">
        <v>0</v>
      </c>
    </row>
    <row r="130" spans="2:17" x14ac:dyDescent="0.2">
      <c r="B130" s="760"/>
      <c r="C130" s="761" t="s">
        <v>340</v>
      </c>
      <c r="D130" s="745">
        <v>2400</v>
      </c>
      <c r="E130" s="772">
        <v>0</v>
      </c>
      <c r="F130" s="773">
        <v>0</v>
      </c>
      <c r="G130" s="773">
        <v>0</v>
      </c>
      <c r="H130" s="773">
        <v>0</v>
      </c>
      <c r="I130" s="773">
        <v>0</v>
      </c>
      <c r="J130" s="773">
        <v>0</v>
      </c>
      <c r="K130" s="773">
        <v>0</v>
      </c>
      <c r="L130" s="773">
        <v>0</v>
      </c>
      <c r="M130" s="773">
        <v>0</v>
      </c>
      <c r="N130" s="774">
        <v>0</v>
      </c>
    </row>
    <row r="131" spans="2:17" x14ac:dyDescent="0.2">
      <c r="B131" s="760"/>
      <c r="C131" s="761" t="s">
        <v>341</v>
      </c>
      <c r="D131" s="745">
        <v>4800</v>
      </c>
      <c r="E131" s="772">
        <v>0</v>
      </c>
      <c r="F131" s="773">
        <v>0</v>
      </c>
      <c r="G131" s="773">
        <v>0</v>
      </c>
      <c r="H131" s="773">
        <v>0</v>
      </c>
      <c r="I131" s="773">
        <v>0</v>
      </c>
      <c r="J131" s="773">
        <v>0</v>
      </c>
      <c r="K131" s="773">
        <v>0</v>
      </c>
      <c r="L131" s="773">
        <v>0</v>
      </c>
      <c r="M131" s="773">
        <v>0</v>
      </c>
      <c r="N131" s="774">
        <v>0</v>
      </c>
    </row>
    <row r="132" spans="2:17" x14ac:dyDescent="0.2">
      <c r="B132" s="760"/>
      <c r="C132" s="761" t="s">
        <v>342</v>
      </c>
      <c r="D132" s="745">
        <v>9600</v>
      </c>
      <c r="E132" s="772">
        <v>0</v>
      </c>
      <c r="F132" s="773">
        <v>0</v>
      </c>
      <c r="G132" s="773">
        <v>0</v>
      </c>
      <c r="H132" s="773">
        <v>0</v>
      </c>
      <c r="I132" s="773">
        <v>0</v>
      </c>
      <c r="J132" s="773">
        <v>0</v>
      </c>
      <c r="K132" s="773">
        <v>0</v>
      </c>
      <c r="L132" s="773">
        <v>0</v>
      </c>
      <c r="M132" s="773">
        <v>0</v>
      </c>
      <c r="N132" s="774">
        <v>0</v>
      </c>
    </row>
    <row r="133" spans="2:17" x14ac:dyDescent="0.2">
      <c r="B133" s="760"/>
      <c r="C133" s="761" t="s">
        <v>360</v>
      </c>
      <c r="D133" s="745">
        <v>14000</v>
      </c>
      <c r="E133" s="772">
        <v>0</v>
      </c>
      <c r="F133" s="773">
        <v>0</v>
      </c>
      <c r="G133" s="773">
        <v>0</v>
      </c>
      <c r="H133" s="773">
        <v>0</v>
      </c>
      <c r="I133" s="773">
        <v>0</v>
      </c>
      <c r="J133" s="773">
        <v>0</v>
      </c>
      <c r="K133" s="773">
        <v>0</v>
      </c>
      <c r="L133" s="773">
        <v>0</v>
      </c>
      <c r="M133" s="773">
        <v>0</v>
      </c>
      <c r="N133" s="774">
        <v>0</v>
      </c>
    </row>
    <row r="134" spans="2:17" x14ac:dyDescent="0.2">
      <c r="B134" s="760"/>
      <c r="C134" s="761" t="s">
        <v>343</v>
      </c>
      <c r="D134" s="745">
        <v>1900</v>
      </c>
      <c r="E134" s="772">
        <v>0</v>
      </c>
      <c r="F134" s="773">
        <v>0</v>
      </c>
      <c r="G134" s="773">
        <v>0</v>
      </c>
      <c r="H134" s="773">
        <v>0</v>
      </c>
      <c r="I134" s="773">
        <v>0</v>
      </c>
      <c r="J134" s="773">
        <v>0</v>
      </c>
      <c r="K134" s="773">
        <v>0</v>
      </c>
      <c r="L134" s="773">
        <v>0</v>
      </c>
      <c r="M134" s="773">
        <v>0</v>
      </c>
      <c r="N134" s="774">
        <v>1</v>
      </c>
    </row>
    <row r="135" spans="2:17" ht="13.5" thickBot="1" x14ac:dyDescent="0.25">
      <c r="B135" s="762"/>
      <c r="C135" s="763" t="s">
        <v>344</v>
      </c>
      <c r="D135" s="747">
        <v>4800</v>
      </c>
      <c r="E135" s="772">
        <v>0</v>
      </c>
      <c r="F135" s="773">
        <v>0</v>
      </c>
      <c r="G135" s="773">
        <v>0</v>
      </c>
      <c r="H135" s="773">
        <v>0</v>
      </c>
      <c r="I135" s="773">
        <v>0</v>
      </c>
      <c r="J135" s="773">
        <v>0</v>
      </c>
      <c r="K135" s="773">
        <v>0</v>
      </c>
      <c r="L135" s="773">
        <v>0</v>
      </c>
      <c r="M135" s="773">
        <v>0</v>
      </c>
      <c r="N135" s="774">
        <v>0</v>
      </c>
    </row>
    <row r="136" spans="2:17" s="727" customFormat="1" ht="11.25" thickBot="1" x14ac:dyDescent="0.2">
      <c r="B136" s="764"/>
      <c r="C136" s="765" t="s">
        <v>323</v>
      </c>
      <c r="D136" s="746"/>
      <c r="E136" s="743">
        <f>+$D$126*E126+$D$127*E127+$D$128*E128+$D$129*E129+$D$130*E130+$D$131*E131+$D$132*E132+$D$133*E133+$D$134*E134+$D$135*E135</f>
        <v>0</v>
      </c>
      <c r="F136" s="743">
        <f t="shared" ref="F136:N136" si="22">+$D$126*F126+$D$127*F127+$D$128*F128+$D$129*F129+$D$130*F130+$D$131*F131+$D$132*F132+$D$133*F133+$D$134*F134+$D$135*F135</f>
        <v>0</v>
      </c>
      <c r="G136" s="743">
        <f t="shared" si="22"/>
        <v>0</v>
      </c>
      <c r="H136" s="743">
        <f t="shared" si="22"/>
        <v>0</v>
      </c>
      <c r="I136" s="743">
        <f t="shared" si="22"/>
        <v>0</v>
      </c>
      <c r="J136" s="743">
        <f t="shared" si="22"/>
        <v>0</v>
      </c>
      <c r="K136" s="743">
        <f t="shared" si="22"/>
        <v>0</v>
      </c>
      <c r="L136" s="743">
        <f t="shared" si="22"/>
        <v>0</v>
      </c>
      <c r="M136" s="743">
        <f t="shared" si="22"/>
        <v>15000</v>
      </c>
      <c r="N136" s="743">
        <f t="shared" si="22"/>
        <v>1900</v>
      </c>
    </row>
    <row r="137" spans="2:17" ht="13.5" thickBot="1" x14ac:dyDescent="0.25">
      <c r="B137" s="699"/>
      <c r="C137" s="69"/>
      <c r="D137" s="725"/>
      <c r="E137" s="68"/>
      <c r="F137" s="68"/>
      <c r="G137" s="68"/>
      <c r="H137" s="68"/>
      <c r="I137" s="68"/>
      <c r="J137" s="68"/>
    </row>
    <row r="138" spans="2:17" ht="13.5" thickBot="1" x14ac:dyDescent="0.25">
      <c r="B138" s="729"/>
      <c r="C138" s="730" t="s">
        <v>351</v>
      </c>
      <c r="D138" s="731"/>
      <c r="E138" s="775">
        <v>1</v>
      </c>
      <c r="F138" s="775">
        <v>1</v>
      </c>
      <c r="G138" s="775">
        <v>1</v>
      </c>
      <c r="H138" s="775">
        <v>1</v>
      </c>
      <c r="I138" s="775">
        <v>1</v>
      </c>
      <c r="J138" s="775">
        <v>1</v>
      </c>
      <c r="K138" s="775">
        <v>1</v>
      </c>
      <c r="L138" s="775">
        <v>1</v>
      </c>
      <c r="M138" s="775">
        <v>1</v>
      </c>
      <c r="N138" s="776">
        <v>1</v>
      </c>
      <c r="O138" s="726"/>
      <c r="P138" s="726"/>
      <c r="Q138" s="726"/>
    </row>
    <row r="139" spans="2:17" x14ac:dyDescent="0.2">
      <c r="C139" s="6"/>
    </row>
    <row r="140" spans="2:17" x14ac:dyDescent="0.2">
      <c r="C140" s="22" t="s">
        <v>103</v>
      </c>
    </row>
    <row r="142" spans="2:17" x14ac:dyDescent="0.2">
      <c r="C142" s="6" t="s">
        <v>104</v>
      </c>
    </row>
    <row r="143" spans="2:17" x14ac:dyDescent="0.2">
      <c r="C143" s="3" t="s">
        <v>105</v>
      </c>
    </row>
    <row r="145" spans="3:9" x14ac:dyDescent="0.2">
      <c r="C145" s="70" t="s">
        <v>106</v>
      </c>
      <c r="D145" s="71"/>
      <c r="E145" s="71"/>
      <c r="F145" s="70" t="s">
        <v>107</v>
      </c>
      <c r="G145" s="70"/>
      <c r="H145" s="72">
        <v>12</v>
      </c>
      <c r="I145" s="73" t="s">
        <v>108</v>
      </c>
    </row>
    <row r="146" spans="3:9" x14ac:dyDescent="0.2">
      <c r="C146" s="69" t="s">
        <v>109</v>
      </c>
      <c r="D146" s="21"/>
      <c r="E146" s="21"/>
      <c r="F146" s="69" t="s">
        <v>107</v>
      </c>
      <c r="G146" s="69"/>
      <c r="H146" s="74">
        <v>2</v>
      </c>
      <c r="I146" s="27" t="s">
        <v>108</v>
      </c>
    </row>
    <row r="147" spans="3:9" x14ac:dyDescent="0.2">
      <c r="C147" s="69" t="s">
        <v>110</v>
      </c>
      <c r="D147" s="21"/>
      <c r="E147" s="21"/>
      <c r="F147" s="69" t="s">
        <v>111</v>
      </c>
      <c r="G147" s="69"/>
      <c r="H147" s="74"/>
      <c r="I147" s="75"/>
    </row>
    <row r="148" spans="3:9" x14ac:dyDescent="0.2">
      <c r="C148" s="69" t="s">
        <v>112</v>
      </c>
      <c r="D148" s="21"/>
      <c r="E148" s="21"/>
      <c r="F148" s="69" t="s">
        <v>113</v>
      </c>
      <c r="G148" s="69"/>
      <c r="H148" s="76">
        <v>15</v>
      </c>
      <c r="I148" s="27" t="s">
        <v>114</v>
      </c>
    </row>
    <row r="149" spans="3:9" x14ac:dyDescent="0.2">
      <c r="C149" s="21"/>
      <c r="D149" s="21"/>
      <c r="E149" s="21"/>
      <c r="F149" s="21"/>
      <c r="G149" s="21"/>
      <c r="H149" s="74"/>
      <c r="I149" s="75"/>
    </row>
    <row r="150" spans="3:9" x14ac:dyDescent="0.2">
      <c r="C150" s="69" t="s">
        <v>115</v>
      </c>
      <c r="D150" s="21"/>
      <c r="E150" s="21"/>
      <c r="F150" s="21"/>
      <c r="G150" s="21"/>
      <c r="H150" s="77">
        <v>7.0000000000000007E-2</v>
      </c>
      <c r="I150" s="27" t="s">
        <v>116</v>
      </c>
    </row>
    <row r="151" spans="3:9" x14ac:dyDescent="0.2">
      <c r="C151" s="69" t="s">
        <v>117</v>
      </c>
      <c r="D151" s="21"/>
      <c r="E151" s="21"/>
      <c r="F151" s="69" t="s">
        <v>107</v>
      </c>
      <c r="G151" s="69"/>
      <c r="H151" s="69" t="s">
        <v>118</v>
      </c>
      <c r="I151" s="75"/>
    </row>
    <row r="152" spans="3:9" x14ac:dyDescent="0.2">
      <c r="C152" s="21"/>
      <c r="D152" s="21"/>
      <c r="E152" s="21"/>
      <c r="F152" s="21"/>
      <c r="G152" s="21"/>
      <c r="H152" s="21"/>
      <c r="I152" s="75"/>
    </row>
    <row r="153" spans="3:9" x14ac:dyDescent="0.2">
      <c r="C153" s="69" t="s">
        <v>119</v>
      </c>
      <c r="D153" s="21"/>
      <c r="E153" s="21"/>
      <c r="F153" s="21"/>
      <c r="G153" s="21"/>
      <c r="H153" s="75">
        <v>15</v>
      </c>
      <c r="I153" s="27" t="s">
        <v>55</v>
      </c>
    </row>
    <row r="154" spans="3:9" x14ac:dyDescent="0.2">
      <c r="C154" s="21"/>
      <c r="D154" s="21"/>
      <c r="E154" s="21"/>
      <c r="F154" s="21"/>
      <c r="G154" s="21"/>
      <c r="H154" s="21"/>
      <c r="I154" s="21"/>
    </row>
    <row r="155" spans="3:9" x14ac:dyDescent="0.2">
      <c r="C155" s="69" t="s">
        <v>120</v>
      </c>
      <c r="D155" s="21"/>
      <c r="E155" s="78">
        <v>20</v>
      </c>
      <c r="F155" s="69" t="s">
        <v>121</v>
      </c>
      <c r="G155" s="69"/>
      <c r="H155" s="21"/>
      <c r="I155" s="21"/>
    </row>
    <row r="156" spans="3:9" x14ac:dyDescent="0.2">
      <c r="C156" s="21"/>
      <c r="D156" s="21"/>
      <c r="E156" s="21"/>
      <c r="F156" s="21"/>
      <c r="G156" s="21"/>
      <c r="H156" s="21"/>
      <c r="I156" s="21"/>
    </row>
  </sheetData>
  <mergeCells count="7">
    <mergeCell ref="C68:D68"/>
    <mergeCell ref="C14:D14"/>
    <mergeCell ref="C15:D15"/>
    <mergeCell ref="C57:E57"/>
    <mergeCell ref="C63:D63"/>
    <mergeCell ref="C64:D64"/>
    <mergeCell ref="C67:D67"/>
  </mergeCells>
  <conditionalFormatting sqref="E74:N76">
    <cfRule type="cellIs" dxfId="10" priority="11" operator="equal">
      <formula>0</formula>
    </cfRule>
  </conditionalFormatting>
  <conditionalFormatting sqref="E79:N80">
    <cfRule type="cellIs" dxfId="9" priority="10" operator="equal">
      <formula>0</formula>
    </cfRule>
  </conditionalFormatting>
  <conditionalFormatting sqref="E83:N85">
    <cfRule type="cellIs" dxfId="8" priority="9" operator="equal">
      <formula>0</formula>
    </cfRule>
  </conditionalFormatting>
  <conditionalFormatting sqref="E88:N89">
    <cfRule type="cellIs" dxfId="7" priority="8" operator="equal">
      <formula>0</formula>
    </cfRule>
  </conditionalFormatting>
  <conditionalFormatting sqref="E92:N94">
    <cfRule type="cellIs" dxfId="6" priority="7" operator="equal">
      <formula>0</formula>
    </cfRule>
  </conditionalFormatting>
  <conditionalFormatting sqref="E97:N100">
    <cfRule type="cellIs" dxfId="5" priority="6" operator="equal">
      <formula>0</formula>
    </cfRule>
  </conditionalFormatting>
  <conditionalFormatting sqref="E103:N106">
    <cfRule type="cellIs" dxfId="4" priority="5" operator="equal">
      <formula>0</formula>
    </cfRule>
  </conditionalFormatting>
  <conditionalFormatting sqref="E109:N110">
    <cfRule type="cellIs" dxfId="3" priority="4" operator="equal">
      <formula>0</formula>
    </cfRule>
  </conditionalFormatting>
  <conditionalFormatting sqref="E113:N115">
    <cfRule type="cellIs" dxfId="2" priority="3" operator="equal">
      <formula>0</formula>
    </cfRule>
  </conditionalFormatting>
  <conditionalFormatting sqref="E118:N123">
    <cfRule type="cellIs" dxfId="1" priority="2" operator="equal">
      <formula>0</formula>
    </cfRule>
  </conditionalFormatting>
  <conditionalFormatting sqref="E126:N135">
    <cfRule type="cellIs" dxfId="0" priority="1" operator="equal">
      <formula>0</formula>
    </cfRule>
  </conditionalFormatting>
  <hyperlinks>
    <hyperlink ref="C57" r:id="rId1" display="Spletni strani ministrstva za gospodarstvo"/>
    <hyperlink ref="C57:E57" r:id="rId2" display="Primerjava cen energentov; ENSVET"/>
  </hyperlinks>
  <pageMargins left="0.25" right="0.25" top="0.75" bottom="0.75" header="0.3" footer="0.3"/>
  <pageSetup paperSize="9" scale="24" orientation="landscape" r:id="rId3"/>
  <colBreaks count="1" manualBreakCount="1">
    <brk id="10" max="1048575" man="1"/>
  </colBreaks>
  <legacyDrawing r:id="rId4"/>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N85"/>
  <sheetViews>
    <sheetView showGridLines="0" view="pageBreakPreview" topLeftCell="A2" zoomScale="85" zoomScaleNormal="115" zoomScaleSheetLayoutView="85" workbookViewId="0">
      <selection activeCell="C19" sqref="C19"/>
    </sheetView>
  </sheetViews>
  <sheetFormatPr defaultColWidth="11.42578125" defaultRowHeight="12.75" x14ac:dyDescent="0.2"/>
  <cols>
    <col min="1" max="1" width="0.85546875" style="273" customWidth="1"/>
    <col min="2" max="2" width="28.7109375" style="273" customWidth="1"/>
    <col min="3" max="4" width="14.140625" style="274" customWidth="1"/>
    <col min="5" max="5" width="11.7109375" style="274" customWidth="1"/>
    <col min="6" max="6" width="11.7109375" style="181" customWidth="1"/>
    <col min="7" max="7" width="11.7109375" style="182" customWidth="1"/>
    <col min="8" max="8" width="11.7109375" style="181" customWidth="1"/>
    <col min="9" max="11" width="11.7109375" style="183" customWidth="1"/>
    <col min="12" max="12" width="11.140625" style="275" customWidth="1"/>
    <col min="13" max="14" width="11.7109375" style="275" customWidth="1"/>
    <col min="15" max="16384" width="11.42578125" style="273"/>
  </cols>
  <sheetData>
    <row r="3" spans="1:14" s="17" customFormat="1" ht="18" customHeight="1" x14ac:dyDescent="0.3">
      <c r="A3" s="79"/>
      <c r="B3" s="15" t="s">
        <v>46</v>
      </c>
      <c r="C3" s="16"/>
      <c r="D3" s="16"/>
      <c r="E3" s="16"/>
      <c r="I3" s="18"/>
      <c r="J3" s="18"/>
      <c r="K3" s="18"/>
      <c r="L3" s="80"/>
      <c r="M3" s="80"/>
      <c r="N3" s="80"/>
    </row>
    <row r="4" spans="1:14" s="82" customFormat="1" ht="13.5" x14ac:dyDescent="0.25">
      <c r="A4" s="81"/>
      <c r="I4" s="83"/>
      <c r="J4" s="83"/>
      <c r="K4" s="83"/>
      <c r="L4" s="84"/>
      <c r="M4" s="84"/>
      <c r="N4" s="84"/>
    </row>
    <row r="5" spans="1:14" s="82" customFormat="1" ht="6.75" customHeight="1" x14ac:dyDescent="0.25">
      <c r="A5" s="85"/>
      <c r="B5" s="86"/>
      <c r="C5" s="87"/>
      <c r="D5" s="87"/>
      <c r="E5" s="87"/>
      <c r="F5" s="85"/>
      <c r="G5" s="85"/>
      <c r="H5" s="85"/>
      <c r="I5" s="88"/>
      <c r="J5" s="88"/>
      <c r="K5" s="83"/>
      <c r="L5" s="84"/>
      <c r="M5" s="84"/>
      <c r="N5" s="84"/>
    </row>
    <row r="6" spans="1:14" s="93" customFormat="1" ht="15" customHeight="1" x14ac:dyDescent="0.2">
      <c r="A6" s="89"/>
      <c r="B6" s="90" t="s">
        <v>122</v>
      </c>
      <c r="C6" s="91">
        <f>'vhodni podatki'!E10</f>
        <v>7.0000000000000007E-2</v>
      </c>
      <c r="D6" s="92"/>
      <c r="E6" s="92"/>
      <c r="G6" s="94"/>
      <c r="H6" s="94"/>
      <c r="I6" s="94"/>
      <c r="J6" s="94"/>
      <c r="K6" s="94"/>
      <c r="L6" s="94"/>
      <c r="M6" s="94"/>
      <c r="N6" s="94"/>
    </row>
    <row r="7" spans="1:14" s="100" customFormat="1" ht="6" customHeight="1" x14ac:dyDescent="0.2">
      <c r="A7" s="95"/>
      <c r="B7" s="96"/>
      <c r="C7" s="97"/>
      <c r="D7" s="97"/>
      <c r="E7" s="97"/>
      <c r="F7" s="98"/>
      <c r="G7" s="99"/>
      <c r="H7" s="99"/>
      <c r="I7" s="99"/>
      <c r="J7" s="99"/>
      <c r="K7" s="99"/>
      <c r="L7" s="99"/>
      <c r="M7" s="99"/>
      <c r="N7" s="99"/>
    </row>
    <row r="8" spans="1:14" s="106" customFormat="1" ht="6" customHeight="1" x14ac:dyDescent="0.2">
      <c r="A8" s="101"/>
      <c r="B8" s="102"/>
      <c r="C8" s="103"/>
      <c r="D8" s="103"/>
      <c r="E8" s="103"/>
      <c r="F8" s="104"/>
      <c r="G8" s="105"/>
      <c r="H8" s="105"/>
      <c r="I8" s="105"/>
      <c r="J8" s="105"/>
      <c r="K8" s="99"/>
      <c r="L8" s="99"/>
      <c r="M8" s="99"/>
      <c r="N8" s="99"/>
    </row>
    <row r="9" spans="1:14" s="110" customFormat="1" ht="12.75" customHeight="1" x14ac:dyDescent="0.2">
      <c r="A9" s="107"/>
      <c r="B9" s="108" t="s">
        <v>123</v>
      </c>
      <c r="C9" s="109" t="s">
        <v>124</v>
      </c>
      <c r="D9" s="109"/>
      <c r="E9" s="109"/>
      <c r="G9" s="111" t="s">
        <v>125</v>
      </c>
      <c r="H9" s="112"/>
      <c r="I9" s="111" t="s">
        <v>126</v>
      </c>
      <c r="J9" s="112"/>
      <c r="K9" s="112"/>
      <c r="L9" s="112"/>
      <c r="M9" s="112"/>
      <c r="N9" s="112"/>
    </row>
    <row r="10" spans="1:14" s="118" customFormat="1" ht="11.25" customHeight="1" x14ac:dyDescent="0.2">
      <c r="A10" s="113"/>
      <c r="B10" s="114"/>
      <c r="C10" s="115" t="s">
        <v>127</v>
      </c>
      <c r="D10" s="115"/>
      <c r="E10" s="115"/>
      <c r="F10" s="116"/>
      <c r="G10" s="115" t="s">
        <v>128</v>
      </c>
      <c r="H10" s="117"/>
      <c r="I10" s="115" t="s">
        <v>128</v>
      </c>
      <c r="J10" s="117"/>
      <c r="K10" s="117"/>
      <c r="L10" s="117"/>
      <c r="M10" s="117"/>
      <c r="N10" s="117"/>
    </row>
    <row r="11" spans="1:14" s="93" customFormat="1" ht="15" customHeight="1" x14ac:dyDescent="0.2">
      <c r="A11" s="89"/>
      <c r="B11" s="119" t="s">
        <v>129</v>
      </c>
      <c r="C11" s="120">
        <f>'vhodni podatki'!E14</f>
        <v>15</v>
      </c>
      <c r="D11" s="121"/>
      <c r="E11" s="121"/>
      <c r="F11" s="122"/>
      <c r="G11" s="123">
        <f>((((1+$C$6/100)^C11)*($C$6/100))/(((1+$C$6/100)^C11)-1))*100</f>
        <v>6.7040609563340512</v>
      </c>
      <c r="H11" s="124"/>
      <c r="I11" s="125">
        <f>'vhodni podatki'!F14</f>
        <v>1</v>
      </c>
      <c r="J11" s="124"/>
      <c r="K11" s="94"/>
      <c r="L11" s="94"/>
      <c r="M11" s="94"/>
      <c r="N11" s="94"/>
    </row>
    <row r="12" spans="1:14" s="93" customFormat="1" ht="15" customHeight="1" x14ac:dyDescent="0.2">
      <c r="A12" s="89"/>
      <c r="B12" s="119" t="s">
        <v>130</v>
      </c>
      <c r="C12" s="120">
        <f>'vhodni podatki'!E15</f>
        <v>15</v>
      </c>
      <c r="D12" s="121"/>
      <c r="E12" s="121"/>
      <c r="F12" s="122"/>
      <c r="G12" s="123">
        <f>((((1+$C$6/100)^C12)*($C$6/100))/(((1+$C$6/100)^C12)-1))*100</f>
        <v>6.7040609563340512</v>
      </c>
      <c r="H12" s="124"/>
      <c r="I12" s="125">
        <f>'vhodni podatki'!F15</f>
        <v>1</v>
      </c>
      <c r="J12" s="124"/>
      <c r="K12" s="94"/>
      <c r="L12" s="126"/>
      <c r="M12" s="126"/>
      <c r="N12" s="126"/>
    </row>
    <row r="13" spans="1:14" s="93" customFormat="1" ht="15" customHeight="1" x14ac:dyDescent="0.2">
      <c r="A13" s="89"/>
      <c r="B13" s="119" t="s">
        <v>131</v>
      </c>
      <c r="C13" s="120">
        <f>'vhodni podatki'!E16</f>
        <v>33</v>
      </c>
      <c r="D13" s="121"/>
      <c r="E13" s="121"/>
      <c r="F13" s="122"/>
      <c r="G13" s="123">
        <f>((((1+$C$6/100)^C13)*($C$6/100))/(((1+$C$6/100)^C13)-1))*100</f>
        <v>3.0664982143323205</v>
      </c>
      <c r="H13" s="124"/>
      <c r="I13" s="125">
        <f>'vhodni podatki'!F16</f>
        <v>0.5</v>
      </c>
      <c r="J13" s="124"/>
      <c r="K13" s="94"/>
      <c r="L13" s="94"/>
      <c r="M13" s="94"/>
      <c r="N13" s="94"/>
    </row>
    <row r="14" spans="1:14" s="100" customFormat="1" ht="6" customHeight="1" x14ac:dyDescent="0.2">
      <c r="A14" s="95"/>
      <c r="B14" s="127"/>
      <c r="C14" s="124"/>
      <c r="D14" s="124"/>
      <c r="E14" s="124"/>
      <c r="F14" s="124"/>
      <c r="G14" s="128"/>
      <c r="H14" s="129"/>
      <c r="I14" s="128"/>
      <c r="J14" s="129"/>
      <c r="K14" s="99"/>
      <c r="L14" s="99"/>
      <c r="M14" s="99"/>
      <c r="N14" s="99"/>
    </row>
    <row r="15" spans="1:14" s="135" customFormat="1" ht="6" customHeight="1" x14ac:dyDescent="0.2">
      <c r="A15" s="130"/>
      <c r="B15" s="131"/>
      <c r="C15" s="131"/>
      <c r="D15" s="131"/>
      <c r="E15" s="131"/>
      <c r="F15" s="132"/>
      <c r="G15" s="133"/>
      <c r="H15" s="133"/>
      <c r="I15" s="133"/>
      <c r="J15" s="133"/>
      <c r="K15" s="134"/>
      <c r="L15" s="134"/>
      <c r="M15" s="134"/>
      <c r="N15" s="134"/>
    </row>
    <row r="16" spans="1:14" s="135" customFormat="1" x14ac:dyDescent="0.2">
      <c r="A16" s="136"/>
      <c r="B16" s="90" t="s">
        <v>132</v>
      </c>
      <c r="C16" s="137" t="s">
        <v>133</v>
      </c>
      <c r="D16" s="137"/>
      <c r="E16" s="137"/>
      <c r="F16" s="138"/>
      <c r="G16" s="139" t="s">
        <v>134</v>
      </c>
      <c r="H16" s="129"/>
      <c r="I16" s="139" t="str">
        <f>+'vhodni podatki'!H25</f>
        <v>Potrebna toplota</v>
      </c>
      <c r="J16" s="134"/>
      <c r="K16" s="134"/>
      <c r="L16" s="134"/>
      <c r="M16" s="134"/>
      <c r="N16" s="134"/>
    </row>
    <row r="17" spans="1:14" s="116" customFormat="1" ht="11.25" x14ac:dyDescent="0.2">
      <c r="A17" s="140"/>
      <c r="B17" s="141"/>
      <c r="C17" s="142" t="s">
        <v>135</v>
      </c>
      <c r="D17" s="142"/>
      <c r="E17" s="142"/>
      <c r="F17" s="143"/>
      <c r="G17" s="144" t="s">
        <v>136</v>
      </c>
      <c r="H17" s="145"/>
      <c r="I17" s="144" t="s">
        <v>137</v>
      </c>
      <c r="J17" s="146"/>
      <c r="K17" s="146"/>
      <c r="L17" s="146"/>
      <c r="M17" s="146"/>
      <c r="N17" s="146"/>
    </row>
    <row r="18" spans="1:14" s="151" customFormat="1" ht="15" customHeight="1" x14ac:dyDescent="0.2">
      <c r="A18" s="147"/>
      <c r="B18" s="148"/>
      <c r="C18" s="149">
        <f>'vhodni podatki'!H19</f>
        <v>20</v>
      </c>
      <c r="D18" s="150"/>
      <c r="E18" s="150"/>
      <c r="G18" s="149">
        <f>I18/C18</f>
        <v>1000</v>
      </c>
      <c r="I18" s="152">
        <f>'vhodni podatki'!H26*1000</f>
        <v>20000</v>
      </c>
      <c r="K18" s="153"/>
      <c r="L18" s="153"/>
      <c r="M18" s="153"/>
      <c r="N18" s="153"/>
    </row>
    <row r="19" spans="1:14" s="156" customFormat="1" ht="6" customHeight="1" x14ac:dyDescent="0.2">
      <c r="A19" s="134"/>
      <c r="B19" s="154"/>
      <c r="C19" s="155"/>
      <c r="D19" s="155"/>
      <c r="E19" s="155"/>
      <c r="G19" s="155"/>
      <c r="I19" s="157"/>
      <c r="K19" s="134"/>
      <c r="L19" s="134"/>
      <c r="M19" s="134"/>
      <c r="N19" s="134"/>
    </row>
    <row r="20" spans="1:14" s="156" customFormat="1" ht="6" customHeight="1" x14ac:dyDescent="0.2">
      <c r="A20" s="133"/>
      <c r="B20" s="158"/>
      <c r="C20" s="159"/>
      <c r="D20" s="159"/>
      <c r="E20" s="159"/>
      <c r="F20" s="160"/>
      <c r="G20" s="159"/>
      <c r="H20" s="133"/>
      <c r="I20" s="159"/>
      <c r="J20" s="159"/>
      <c r="K20" s="159"/>
      <c r="L20" s="134"/>
      <c r="M20" s="134"/>
      <c r="N20" s="134"/>
    </row>
    <row r="21" spans="1:14" s="165" customFormat="1" ht="27" customHeight="1" x14ac:dyDescent="0.2">
      <c r="A21" s="161"/>
      <c r="B21" s="162" t="s">
        <v>138</v>
      </c>
      <c r="C21" s="163"/>
      <c r="D21" s="163"/>
      <c r="E21" s="164" t="str">
        <f>+'vhodni podatki'!E63</f>
        <v>Polena (bukev)</v>
      </c>
      <c r="F21" s="164" t="str">
        <f>+'vhodni podatki'!F63</f>
        <v>Polena (iglavci)</v>
      </c>
      <c r="G21" s="164" t="str">
        <f>+'vhodni podatki'!G63</f>
        <v>Sekanci</v>
      </c>
      <c r="H21" s="164" t="str">
        <f>+'vhodni podatki'!H63</f>
        <v>Peleti</v>
      </c>
      <c r="I21" s="164" t="str">
        <f>+'vhodni podatki'!I63</f>
        <v>ELKO</v>
      </c>
      <c r="J21" s="164" t="str">
        <f>+'vhodni podatki'!J63</f>
        <v>UNP</v>
      </c>
      <c r="K21" s="164" t="str">
        <f>+'vhodni podatki'!K63</f>
        <v>ZP</v>
      </c>
      <c r="L21" s="164" t="str">
        <f>+'vhodni podatki'!L63</f>
        <v>TČ zrak/voda</v>
      </c>
      <c r="M21" s="164" t="str">
        <f>+'vhodni podatki'!M63</f>
        <v>TČ zemlja/voda</v>
      </c>
      <c r="N21" s="164" t="str">
        <f>+'vhodni podatki'!N63</f>
        <v>TČ voda/voda</v>
      </c>
    </row>
    <row r="22" spans="1:14" s="165" customFormat="1" ht="6" customHeight="1" x14ac:dyDescent="0.2">
      <c r="A22" s="161"/>
      <c r="B22" s="162"/>
      <c r="C22" s="163"/>
      <c r="D22" s="163"/>
      <c r="E22" s="166"/>
      <c r="F22" s="166"/>
      <c r="G22" s="166"/>
      <c r="H22" s="167"/>
      <c r="I22" s="168"/>
      <c r="J22" s="167"/>
      <c r="K22" s="167"/>
      <c r="L22" s="167"/>
      <c r="M22" s="167"/>
      <c r="N22" s="167"/>
    </row>
    <row r="23" spans="1:14" s="165" customFormat="1" x14ac:dyDescent="0.2">
      <c r="A23" s="161"/>
      <c r="B23" s="162"/>
      <c r="C23" s="163"/>
      <c r="D23" s="163"/>
      <c r="E23" s="169" t="s">
        <v>139</v>
      </c>
      <c r="F23" s="169" t="s">
        <v>139</v>
      </c>
      <c r="G23" s="169" t="s">
        <v>139</v>
      </c>
      <c r="H23" s="170" t="s">
        <v>139</v>
      </c>
      <c r="I23" s="171" t="s">
        <v>140</v>
      </c>
      <c r="J23" s="170" t="s">
        <v>141</v>
      </c>
      <c r="K23" s="170" t="s">
        <v>142</v>
      </c>
      <c r="L23" s="170" t="s">
        <v>143</v>
      </c>
      <c r="M23" s="170" t="s">
        <v>143</v>
      </c>
      <c r="N23" s="170" t="s">
        <v>143</v>
      </c>
    </row>
    <row r="24" spans="1:14" s="165" customFormat="1" ht="15" customHeight="1" x14ac:dyDescent="0.2">
      <c r="A24" s="161"/>
      <c r="B24" s="162" t="s">
        <v>144</v>
      </c>
      <c r="C24" s="163"/>
      <c r="D24" s="163"/>
      <c r="E24" s="172">
        <f>'vhodni podatki'!C42</f>
        <v>0.13</v>
      </c>
      <c r="F24" s="172">
        <f>'vhodni podatki'!D42</f>
        <v>0.124</v>
      </c>
      <c r="G24" s="172">
        <f>'vhodni podatki'!E42</f>
        <v>9.4444444444444442E-2</v>
      </c>
      <c r="H24" s="173">
        <f>'vhodni podatki'!F42</f>
        <v>0.255</v>
      </c>
      <c r="I24" s="173">
        <f>'vhodni podatki'!G42</f>
        <v>0.88</v>
      </c>
      <c r="J24" s="173">
        <f>'vhodni podatki'!H42</f>
        <v>3.39</v>
      </c>
      <c r="K24" s="173">
        <f>'vhodni podatki'!I42</f>
        <v>6.6900000000000001E-2</v>
      </c>
      <c r="L24" s="174">
        <f>'vhodni podatki'!J42</f>
        <v>133</v>
      </c>
      <c r="M24" s="174">
        <f>'vhodni podatki'!K42</f>
        <v>133</v>
      </c>
      <c r="N24" s="174">
        <f>'vhodni podatki'!L42</f>
        <v>133</v>
      </c>
    </row>
    <row r="25" spans="1:14" s="165" customFormat="1" ht="6" customHeight="1" x14ac:dyDescent="0.2">
      <c r="A25" s="161"/>
      <c r="B25" s="162"/>
      <c r="C25" s="163"/>
      <c r="D25" s="163"/>
      <c r="E25" s="166"/>
      <c r="F25" s="166"/>
      <c r="G25" s="166"/>
      <c r="H25" s="167"/>
      <c r="I25" s="168"/>
      <c r="J25" s="167"/>
      <c r="K25" s="167"/>
      <c r="L25" s="167"/>
      <c r="M25" s="167"/>
      <c r="N25" s="167"/>
    </row>
    <row r="26" spans="1:14" s="179" customFormat="1" ht="11.25" x14ac:dyDescent="0.2">
      <c r="A26" s="146"/>
      <c r="B26" s="175"/>
      <c r="C26" s="176"/>
      <c r="D26" s="176"/>
      <c r="E26" s="177" t="s">
        <v>145</v>
      </c>
      <c r="F26" s="177" t="s">
        <v>145</v>
      </c>
      <c r="G26" s="177" t="s">
        <v>145</v>
      </c>
      <c r="H26" s="178" t="s">
        <v>145</v>
      </c>
      <c r="I26" s="144" t="s">
        <v>146</v>
      </c>
      <c r="J26" s="178" t="s">
        <v>147</v>
      </c>
      <c r="K26" s="178" t="s">
        <v>147</v>
      </c>
      <c r="L26" s="178" t="s">
        <v>148</v>
      </c>
      <c r="M26" s="178" t="s">
        <v>148</v>
      </c>
      <c r="N26" s="178" t="s">
        <v>148</v>
      </c>
    </row>
    <row r="27" spans="1:14" s="151" customFormat="1" ht="15" customHeight="1" x14ac:dyDescent="0.2">
      <c r="A27" s="147"/>
      <c r="B27" s="162" t="s">
        <v>149</v>
      </c>
      <c r="D27" s="147"/>
      <c r="E27" s="152">
        <f>'izračun energentov'!E32</f>
        <v>5474.6138500555735</v>
      </c>
      <c r="F27" s="152">
        <f>'izračun energentov'!F32</f>
        <v>5597.6388803939008</v>
      </c>
      <c r="G27" s="152">
        <f>'izračun energentov'!G32</f>
        <v>5971.8811661189338</v>
      </c>
      <c r="H27" s="152">
        <f>'izračun energentov'!H32</f>
        <v>4607.0440690142668</v>
      </c>
      <c r="I27" s="152">
        <f>'izračun energentov'!I30*1000</f>
        <v>2217.4291891654129</v>
      </c>
      <c r="J27" s="152">
        <f>'izračun energentov'!J30</f>
        <v>791.84643956384093</v>
      </c>
      <c r="K27" s="152">
        <f>'izračun energentov'!K30</f>
        <v>1950.135046851995</v>
      </c>
      <c r="L27" s="152">
        <f>+'izračun energentov'!L60</f>
        <v>5263.1578947368425</v>
      </c>
      <c r="M27" s="152">
        <f>+'izračun energentov'!M60</f>
        <v>4761.9047619047615</v>
      </c>
      <c r="N27" s="152">
        <f>+'izračun energentov'!N60</f>
        <v>4347.826086956522</v>
      </c>
    </row>
    <row r="28" spans="1:14" s="135" customFormat="1" ht="15" customHeight="1" x14ac:dyDescent="0.2">
      <c r="A28" s="136"/>
      <c r="C28" s="136"/>
      <c r="D28" s="800"/>
      <c r="E28" s="800"/>
      <c r="F28" s="147"/>
      <c r="G28" s="134"/>
      <c r="H28" s="134"/>
      <c r="I28" s="134"/>
      <c r="J28" s="134"/>
      <c r="K28" s="134"/>
      <c r="L28" s="134"/>
      <c r="M28" s="134"/>
      <c r="N28" s="134"/>
    </row>
    <row r="29" spans="1:14" s="181" customFormat="1" ht="6" customHeight="1" x14ac:dyDescent="0.2">
      <c r="A29" s="180"/>
      <c r="C29" s="182"/>
      <c r="D29" s="182"/>
      <c r="E29" s="182"/>
      <c r="F29" s="182"/>
      <c r="G29" s="182"/>
      <c r="I29" s="183"/>
      <c r="J29" s="183"/>
      <c r="K29" s="183"/>
      <c r="L29" s="183"/>
      <c r="M29" s="183"/>
      <c r="N29" s="183"/>
    </row>
    <row r="30" spans="1:14" s="188" customFormat="1" ht="6" customHeight="1" x14ac:dyDescent="0.2">
      <c r="A30" s="184"/>
      <c r="B30" s="185"/>
      <c r="C30" s="186"/>
      <c r="D30" s="187"/>
      <c r="E30" s="187"/>
      <c r="F30" s="187"/>
      <c r="G30" s="187"/>
      <c r="H30" s="187"/>
      <c r="I30" s="187"/>
      <c r="J30" s="187"/>
      <c r="K30" s="187"/>
      <c r="L30" s="187"/>
      <c r="M30" s="187"/>
      <c r="N30" s="187"/>
    </row>
    <row r="31" spans="1:14" s="193" customFormat="1" ht="27.75" customHeight="1" x14ac:dyDescent="0.2">
      <c r="A31" s="189"/>
      <c r="B31" s="190"/>
      <c r="C31" s="191" t="s">
        <v>150</v>
      </c>
      <c r="D31" s="192" t="s">
        <v>151</v>
      </c>
      <c r="E31" s="192" t="str">
        <f t="shared" ref="E31:N31" si="0">+E21</f>
        <v>Polena (bukev)</v>
      </c>
      <c r="F31" s="192" t="str">
        <f t="shared" si="0"/>
        <v>Polena (iglavci)</v>
      </c>
      <c r="G31" s="192" t="str">
        <f t="shared" si="0"/>
        <v>Sekanci</v>
      </c>
      <c r="H31" s="192" t="str">
        <f t="shared" si="0"/>
        <v>Peleti</v>
      </c>
      <c r="I31" s="192" t="str">
        <f t="shared" si="0"/>
        <v>ELKO</v>
      </c>
      <c r="J31" s="192" t="str">
        <f t="shared" si="0"/>
        <v>UNP</v>
      </c>
      <c r="K31" s="192" t="str">
        <f t="shared" si="0"/>
        <v>ZP</v>
      </c>
      <c r="L31" s="192" t="str">
        <f t="shared" si="0"/>
        <v>TČ zrak/voda</v>
      </c>
      <c r="M31" s="192" t="str">
        <f t="shared" si="0"/>
        <v>TČ zemlja/voda</v>
      </c>
      <c r="N31" s="192" t="str">
        <f t="shared" si="0"/>
        <v>TČ voda/voda</v>
      </c>
    </row>
    <row r="32" spans="1:14" s="198" customFormat="1" ht="8.25" customHeight="1" x14ac:dyDescent="0.2">
      <c r="A32" s="194"/>
      <c r="B32" s="195"/>
      <c r="C32" s="196"/>
      <c r="D32" s="197"/>
      <c r="E32" s="197"/>
      <c r="F32" s="197"/>
      <c r="G32" s="197"/>
      <c r="H32" s="197"/>
      <c r="I32" s="197"/>
      <c r="J32" s="197"/>
      <c r="K32" s="197"/>
      <c r="L32" s="197"/>
      <c r="M32" s="197"/>
      <c r="N32" s="197"/>
    </row>
    <row r="33" spans="1:14" s="106" customFormat="1" ht="3" customHeight="1" x14ac:dyDescent="0.2">
      <c r="A33" s="199"/>
      <c r="B33" s="200"/>
      <c r="C33" s="201"/>
      <c r="D33" s="202"/>
      <c r="E33" s="202"/>
      <c r="F33" s="202"/>
      <c r="G33" s="202"/>
      <c r="H33" s="202"/>
      <c r="I33" s="202"/>
      <c r="J33" s="202"/>
      <c r="K33" s="202"/>
      <c r="L33" s="202"/>
      <c r="M33" s="202"/>
      <c r="N33" s="202"/>
    </row>
    <row r="34" spans="1:14" s="93" customFormat="1" ht="15" customHeight="1" x14ac:dyDescent="0.2">
      <c r="A34" s="203"/>
      <c r="B34" s="204" t="s">
        <v>152</v>
      </c>
      <c r="C34" s="205"/>
      <c r="D34" s="206"/>
      <c r="E34" s="206"/>
      <c r="F34" s="206"/>
      <c r="G34" s="206"/>
      <c r="H34" s="206"/>
      <c r="I34" s="206"/>
      <c r="J34" s="206"/>
      <c r="K34" s="206"/>
      <c r="L34" s="206"/>
      <c r="M34" s="206"/>
      <c r="N34" s="206"/>
    </row>
    <row r="35" spans="1:14" s="209" customFormat="1" ht="15" customHeight="1" x14ac:dyDescent="0.2">
      <c r="A35" s="207"/>
      <c r="B35" s="93" t="s">
        <v>129</v>
      </c>
      <c r="C35" s="205" t="s">
        <v>153</v>
      </c>
      <c r="D35" s="208" t="s">
        <v>154</v>
      </c>
      <c r="E35" s="208">
        <f>'vhodni podatki'!E64</f>
        <v>7950</v>
      </c>
      <c r="F35" s="208">
        <f>'vhodni podatki'!F64</f>
        <v>7950</v>
      </c>
      <c r="G35" s="208">
        <f>'vhodni podatki'!G64</f>
        <v>11500</v>
      </c>
      <c r="H35" s="208">
        <f>'vhodni podatki'!H64</f>
        <v>8500</v>
      </c>
      <c r="I35" s="208">
        <f>'vhodni podatki'!I64</f>
        <v>3300</v>
      </c>
      <c r="J35" s="208">
        <f>'vhodni podatki'!J64</f>
        <v>3200</v>
      </c>
      <c r="K35" s="208">
        <f>'vhodni podatki'!K64</f>
        <v>3200</v>
      </c>
      <c r="L35" s="208">
        <f>'vhodni podatki'!L64</f>
        <v>12000</v>
      </c>
      <c r="M35" s="208">
        <f>'vhodni podatki'!M64</f>
        <v>6900</v>
      </c>
      <c r="N35" s="208">
        <f>'vhodni podatki'!N64</f>
        <v>6900</v>
      </c>
    </row>
    <row r="36" spans="1:14" s="209" customFormat="1" ht="15" customHeight="1" x14ac:dyDescent="0.2">
      <c r="A36" s="207"/>
      <c r="B36" s="93" t="s">
        <v>130</v>
      </c>
      <c r="C36" s="205" t="s">
        <v>153</v>
      </c>
      <c r="D36" s="208" t="s">
        <v>154</v>
      </c>
      <c r="E36" s="208">
        <f>'vhodni podatki'!E65</f>
        <v>2100</v>
      </c>
      <c r="F36" s="208">
        <f>'vhodni podatki'!F65</f>
        <v>2100</v>
      </c>
      <c r="G36" s="208">
        <f>'vhodni podatki'!G65</f>
        <v>2100</v>
      </c>
      <c r="H36" s="208">
        <f>'vhodni podatki'!H65</f>
        <v>2100</v>
      </c>
      <c r="I36" s="208">
        <f>'vhodni podatki'!I65</f>
        <v>2100</v>
      </c>
      <c r="J36" s="208">
        <f>'vhodni podatki'!J65</f>
        <v>2100</v>
      </c>
      <c r="K36" s="208">
        <f>'vhodni podatki'!K65</f>
        <v>2100</v>
      </c>
      <c r="L36" s="208">
        <f>'vhodni podatki'!L65</f>
        <v>2100</v>
      </c>
      <c r="M36" s="208">
        <f>'vhodni podatki'!M65</f>
        <v>2100</v>
      </c>
      <c r="N36" s="208">
        <f>'vhodni podatki'!N65</f>
        <v>2100</v>
      </c>
    </row>
    <row r="37" spans="1:14" s="209" customFormat="1" ht="15" customHeight="1" x14ac:dyDescent="0.2">
      <c r="A37" s="207"/>
      <c r="B37" s="93" t="s">
        <v>131</v>
      </c>
      <c r="C37" s="205" t="s">
        <v>153</v>
      </c>
      <c r="D37" s="208" t="s">
        <v>154</v>
      </c>
      <c r="E37" s="208">
        <f>'vhodni podatki'!E66</f>
        <v>1600</v>
      </c>
      <c r="F37" s="208">
        <f>'vhodni podatki'!F66</f>
        <v>1600</v>
      </c>
      <c r="G37" s="208">
        <f>'vhodni podatki'!G66</f>
        <v>9600</v>
      </c>
      <c r="H37" s="208">
        <f>'vhodni podatki'!H66</f>
        <v>5400</v>
      </c>
      <c r="I37" s="208">
        <f>'vhodni podatki'!I66</f>
        <v>2400</v>
      </c>
      <c r="J37" s="208">
        <f>'vhodni podatki'!J66</f>
        <v>950</v>
      </c>
      <c r="K37" s="208">
        <f>'vhodni podatki'!K66</f>
        <v>2850</v>
      </c>
      <c r="L37" s="208">
        <f>'vhodni podatki'!L66</f>
        <v>0</v>
      </c>
      <c r="M37" s="208">
        <f>'vhodni podatki'!M66</f>
        <v>15000</v>
      </c>
      <c r="N37" s="208">
        <f>'vhodni podatki'!N66</f>
        <v>1900</v>
      </c>
    </row>
    <row r="38" spans="1:14" s="209" customFormat="1" ht="15" customHeight="1" x14ac:dyDescent="0.2">
      <c r="A38" s="210"/>
      <c r="B38" s="211" t="s">
        <v>155</v>
      </c>
      <c r="C38" s="212" t="s">
        <v>153</v>
      </c>
      <c r="D38" s="213" t="s">
        <v>154</v>
      </c>
      <c r="E38" s="213">
        <f t="shared" ref="E38:K38" si="1">SUM(E35:E37)</f>
        <v>11650</v>
      </c>
      <c r="F38" s="213">
        <f t="shared" si="1"/>
        <v>11650</v>
      </c>
      <c r="G38" s="213">
        <f t="shared" si="1"/>
        <v>23200</v>
      </c>
      <c r="H38" s="213">
        <f t="shared" si="1"/>
        <v>16000</v>
      </c>
      <c r="I38" s="213">
        <f t="shared" si="1"/>
        <v>7800</v>
      </c>
      <c r="J38" s="213">
        <f t="shared" si="1"/>
        <v>6250</v>
      </c>
      <c r="K38" s="213">
        <f t="shared" si="1"/>
        <v>8150</v>
      </c>
      <c r="L38" s="213">
        <f>SUM(L35:L37)</f>
        <v>14100</v>
      </c>
      <c r="M38" s="213">
        <f>SUM(M35:M37)</f>
        <v>24000</v>
      </c>
      <c r="N38" s="213">
        <f>SUM(N35:N37)</f>
        <v>10900</v>
      </c>
    </row>
    <row r="39" spans="1:14" s="209" customFormat="1" ht="15" customHeight="1" x14ac:dyDescent="0.2">
      <c r="A39" s="207"/>
      <c r="B39" s="93" t="s">
        <v>156</v>
      </c>
      <c r="C39" s="205" t="s">
        <v>128</v>
      </c>
      <c r="D39" s="214" t="s">
        <v>154</v>
      </c>
      <c r="E39" s="214">
        <v>100</v>
      </c>
      <c r="F39" s="214">
        <v>100</v>
      </c>
      <c r="G39" s="214">
        <v>100</v>
      </c>
      <c r="H39" s="214">
        <v>100</v>
      </c>
      <c r="I39" s="214">
        <v>100</v>
      </c>
      <c r="J39" s="214">
        <v>100</v>
      </c>
      <c r="K39" s="214">
        <v>100</v>
      </c>
      <c r="L39" s="214">
        <v>100</v>
      </c>
      <c r="M39" s="214">
        <v>100</v>
      </c>
      <c r="N39" s="214">
        <v>100</v>
      </c>
    </row>
    <row r="40" spans="1:14" s="209" customFormat="1" ht="15" customHeight="1" x14ac:dyDescent="0.2">
      <c r="A40" s="207"/>
      <c r="B40" s="93" t="s">
        <v>157</v>
      </c>
      <c r="C40" s="205" t="s">
        <v>128</v>
      </c>
      <c r="D40" s="214" t="s">
        <v>154</v>
      </c>
      <c r="E40" s="214">
        <f>'vhodni podatki'!E68</f>
        <v>4000</v>
      </c>
      <c r="F40" s="214">
        <f>'vhodni podatki'!F68</f>
        <v>4000</v>
      </c>
      <c r="G40" s="214">
        <f>'vhodni podatki'!G68</f>
        <v>4000</v>
      </c>
      <c r="H40" s="214">
        <f>'vhodni podatki'!H68</f>
        <v>4000</v>
      </c>
      <c r="I40" s="214">
        <v>0</v>
      </c>
      <c r="J40" s="214">
        <v>0</v>
      </c>
      <c r="K40" s="214">
        <v>0</v>
      </c>
      <c r="L40" s="214">
        <f>'vhodni podatki'!L68</f>
        <v>2500</v>
      </c>
      <c r="M40" s="214">
        <f>'vhodni podatki'!M68</f>
        <v>4000</v>
      </c>
      <c r="N40" s="214">
        <f>'vhodni podatki'!N68</f>
        <v>4000</v>
      </c>
    </row>
    <row r="41" spans="1:14" s="219" customFormat="1" ht="3" customHeight="1" x14ac:dyDescent="0.2">
      <c r="A41" s="215"/>
      <c r="B41" s="216"/>
      <c r="C41" s="217"/>
      <c r="D41" s="218"/>
      <c r="E41" s="218"/>
      <c r="F41" s="218"/>
      <c r="G41" s="218"/>
      <c r="H41" s="218"/>
      <c r="I41" s="218"/>
      <c r="J41" s="218"/>
      <c r="K41" s="218"/>
      <c r="L41" s="218"/>
      <c r="M41" s="218"/>
      <c r="N41" s="218"/>
    </row>
    <row r="42" spans="1:14" s="224" customFormat="1" ht="15" customHeight="1" x14ac:dyDescent="0.2">
      <c r="A42" s="220"/>
      <c r="B42" s="221" t="s">
        <v>158</v>
      </c>
      <c r="C42" s="222" t="s">
        <v>153</v>
      </c>
      <c r="D42" s="223" t="s">
        <v>154</v>
      </c>
      <c r="E42" s="223">
        <f>E38-E40</f>
        <v>7650</v>
      </c>
      <c r="F42" s="223">
        <f t="shared" ref="F42:K42" si="2">F38-F40</f>
        <v>7650</v>
      </c>
      <c r="G42" s="223">
        <f t="shared" si="2"/>
        <v>19200</v>
      </c>
      <c r="H42" s="223">
        <f t="shared" si="2"/>
        <v>12000</v>
      </c>
      <c r="I42" s="223">
        <f t="shared" si="2"/>
        <v>7800</v>
      </c>
      <c r="J42" s="223">
        <f t="shared" si="2"/>
        <v>6250</v>
      </c>
      <c r="K42" s="223">
        <f t="shared" si="2"/>
        <v>8150</v>
      </c>
      <c r="L42" s="223">
        <f>L38-L40</f>
        <v>11600</v>
      </c>
      <c r="M42" s="223">
        <f>M38-M40</f>
        <v>20000</v>
      </c>
      <c r="N42" s="223">
        <f>N38-N40</f>
        <v>6900</v>
      </c>
    </row>
    <row r="43" spans="1:14" s="219" customFormat="1" ht="3" customHeight="1" x14ac:dyDescent="0.2">
      <c r="A43" s="225"/>
      <c r="B43" s="226"/>
      <c r="C43" s="227"/>
      <c r="D43" s="228"/>
      <c r="E43" s="228"/>
      <c r="F43" s="228"/>
      <c r="G43" s="228"/>
      <c r="H43" s="228"/>
      <c r="I43" s="228"/>
      <c r="J43" s="228"/>
      <c r="K43" s="228"/>
      <c r="L43" s="228"/>
      <c r="M43" s="228"/>
      <c r="N43" s="228"/>
    </row>
    <row r="44" spans="1:14" s="219" customFormat="1" ht="3" customHeight="1" x14ac:dyDescent="0.2">
      <c r="A44" s="229"/>
      <c r="B44" s="101"/>
      <c r="C44" s="230"/>
      <c r="D44" s="231"/>
      <c r="E44" s="231"/>
      <c r="F44" s="231"/>
      <c r="G44" s="231"/>
      <c r="H44" s="231"/>
      <c r="I44" s="231"/>
      <c r="J44" s="231"/>
      <c r="K44" s="231"/>
      <c r="L44" s="231"/>
      <c r="M44" s="231"/>
      <c r="N44" s="231"/>
    </row>
    <row r="45" spans="1:14" s="209" customFormat="1" ht="15" customHeight="1" x14ac:dyDescent="0.2">
      <c r="A45" s="207"/>
      <c r="B45" s="209" t="s">
        <v>159</v>
      </c>
      <c r="C45" s="232"/>
      <c r="D45" s="233" t="s">
        <v>154</v>
      </c>
      <c r="E45" s="233"/>
      <c r="F45" s="233"/>
      <c r="G45" s="233"/>
      <c r="H45" s="233"/>
      <c r="I45" s="233"/>
      <c r="J45" s="233"/>
      <c r="K45" s="233"/>
      <c r="L45" s="233"/>
      <c r="M45" s="233"/>
      <c r="N45" s="233"/>
    </row>
    <row r="46" spans="1:14" s="209" customFormat="1" ht="15" customHeight="1" x14ac:dyDescent="0.2">
      <c r="A46" s="207"/>
      <c r="B46" s="93" t="s">
        <v>129</v>
      </c>
      <c r="C46" s="205" t="s">
        <v>160</v>
      </c>
      <c r="D46" s="233" t="s">
        <v>154</v>
      </c>
      <c r="E46" s="233">
        <f>((E$42/E$38)*E35)*($G11/100)</f>
        <v>349.97787743506109</v>
      </c>
      <c r="F46" s="233">
        <f>((F$42/F$38)*F35)*($G11/100)</f>
        <v>349.97787743506109</v>
      </c>
      <c r="G46" s="233">
        <f>((G$42/G$38)*G35)*($G11/100)</f>
        <v>638.04166343041311</v>
      </c>
      <c r="H46" s="233">
        <f>((H$42/H$38)*H35)*($G11/100)</f>
        <v>427.38388596629579</v>
      </c>
      <c r="I46" s="233">
        <f>((I$42/I$38)*I35)*($G11/100)</f>
        <v>221.23401155902368</v>
      </c>
      <c r="J46" s="233">
        <f t="shared" ref="G46:K48" si="3">((J$42/J$38)*J35)*($G11/100)</f>
        <v>214.52995060268964</v>
      </c>
      <c r="K46" s="233">
        <f t="shared" si="3"/>
        <v>214.52995060268964</v>
      </c>
      <c r="L46" s="233">
        <f t="shared" ref="L46:N48" si="4">((L$42/L$38)*L35)*($G11/100)</f>
        <v>661.84771994446805</v>
      </c>
      <c r="M46" s="233">
        <f t="shared" si="4"/>
        <v>385.48350498920797</v>
      </c>
      <c r="N46" s="233">
        <f t="shared" si="4"/>
        <v>292.82600195510474</v>
      </c>
    </row>
    <row r="47" spans="1:14" s="209" customFormat="1" ht="15" customHeight="1" x14ac:dyDescent="0.2">
      <c r="A47" s="207"/>
      <c r="B47" s="93" t="s">
        <v>130</v>
      </c>
      <c r="C47" s="205" t="s">
        <v>160</v>
      </c>
      <c r="D47" s="234" t="s">
        <v>154</v>
      </c>
      <c r="E47" s="234">
        <f>((E$42/E$38)*E36)*($G12/100)</f>
        <v>92.446986492280274</v>
      </c>
      <c r="F47" s="234">
        <f>((F$42/F$38)*F36)*($G12/100)</f>
        <v>92.446986492280274</v>
      </c>
      <c r="G47" s="234">
        <f t="shared" si="3"/>
        <v>116.51195593077109</v>
      </c>
      <c r="H47" s="234">
        <f t="shared" si="3"/>
        <v>105.58896006226131</v>
      </c>
      <c r="I47" s="234">
        <f t="shared" si="3"/>
        <v>140.78528008301507</v>
      </c>
      <c r="J47" s="234">
        <f t="shared" si="3"/>
        <v>140.78528008301507</v>
      </c>
      <c r="K47" s="234">
        <f t="shared" si="3"/>
        <v>140.78528008301507</v>
      </c>
      <c r="L47" s="234">
        <f t="shared" si="4"/>
        <v>115.82335099028191</v>
      </c>
      <c r="M47" s="234">
        <f t="shared" si="4"/>
        <v>117.3210667358459</v>
      </c>
      <c r="N47" s="234">
        <f t="shared" si="4"/>
        <v>89.12095711677101</v>
      </c>
    </row>
    <row r="48" spans="1:14" s="209" customFormat="1" ht="15" customHeight="1" x14ac:dyDescent="0.2">
      <c r="A48" s="207"/>
      <c r="B48" s="93" t="s">
        <v>131</v>
      </c>
      <c r="C48" s="205" t="s">
        <v>160</v>
      </c>
      <c r="D48" s="234" t="s">
        <v>154</v>
      </c>
      <c r="E48" s="234">
        <f>((E$42/E$38)*E37)*($G13/100)</f>
        <v>32.21797265530266</v>
      </c>
      <c r="F48" s="234">
        <f>((F$42/F$38)*F37)*($G13/100)</f>
        <v>32.21797265530266</v>
      </c>
      <c r="G48" s="234">
        <f t="shared" si="3"/>
        <v>243.62799606281609</v>
      </c>
      <c r="H48" s="234">
        <f t="shared" si="3"/>
        <v>124.19317768045897</v>
      </c>
      <c r="I48" s="234">
        <f t="shared" si="3"/>
        <v>73.595957143975696</v>
      </c>
      <c r="J48" s="234">
        <f>((J$42/J$38)*J37)*($G13/100)</f>
        <v>29.131733036157044</v>
      </c>
      <c r="K48" s="234">
        <f>((K$42/K$38)*K37)*($G13/100)</f>
        <v>87.395199108471132</v>
      </c>
      <c r="L48" s="234">
        <f t="shared" si="4"/>
        <v>0</v>
      </c>
      <c r="M48" s="234">
        <f t="shared" si="4"/>
        <v>383.31227679154006</v>
      </c>
      <c r="N48" s="234">
        <f t="shared" si="4"/>
        <v>36.882377605409836</v>
      </c>
    </row>
    <row r="49" spans="1:14" s="219" customFormat="1" ht="3" customHeight="1" x14ac:dyDescent="0.2">
      <c r="A49" s="235"/>
      <c r="B49" s="106"/>
      <c r="C49" s="236"/>
      <c r="D49" s="237"/>
      <c r="E49" s="237"/>
      <c r="F49" s="237"/>
      <c r="G49" s="237"/>
      <c r="H49" s="237"/>
      <c r="I49" s="237"/>
      <c r="J49" s="237"/>
      <c r="K49" s="237"/>
      <c r="L49" s="237"/>
      <c r="M49" s="237"/>
      <c r="N49" s="237"/>
    </row>
    <row r="50" spans="1:14" s="219" customFormat="1" ht="3" customHeight="1" x14ac:dyDescent="0.2">
      <c r="A50" s="215"/>
      <c r="B50" s="216"/>
      <c r="C50" s="238"/>
      <c r="D50" s="239"/>
      <c r="E50" s="239"/>
      <c r="F50" s="239"/>
      <c r="G50" s="239"/>
      <c r="H50" s="239"/>
      <c r="I50" s="239"/>
      <c r="J50" s="239"/>
      <c r="K50" s="239"/>
      <c r="L50" s="239"/>
      <c r="M50" s="239"/>
      <c r="N50" s="239"/>
    </row>
    <row r="51" spans="1:14" s="224" customFormat="1" ht="15" customHeight="1" x14ac:dyDescent="0.2">
      <c r="A51" s="220"/>
      <c r="B51" s="221" t="s">
        <v>161</v>
      </c>
      <c r="C51" s="222" t="s">
        <v>160</v>
      </c>
      <c r="D51" s="240" t="s">
        <v>154</v>
      </c>
      <c r="E51" s="240">
        <f>SUM(E46:E48)</f>
        <v>474.64283658264401</v>
      </c>
      <c r="F51" s="240">
        <f t="shared" ref="F51:K51" si="5">SUM(F46:F48)</f>
        <v>474.64283658264401</v>
      </c>
      <c r="G51" s="240">
        <f t="shared" si="5"/>
        <v>998.18161542400037</v>
      </c>
      <c r="H51" s="240">
        <f t="shared" si="5"/>
        <v>657.16602370901614</v>
      </c>
      <c r="I51" s="240">
        <f t="shared" si="5"/>
        <v>435.61524878601443</v>
      </c>
      <c r="J51" s="240">
        <f t="shared" si="5"/>
        <v>384.44696372186172</v>
      </c>
      <c r="K51" s="240">
        <f t="shared" si="5"/>
        <v>442.71042979417587</v>
      </c>
      <c r="L51" s="240">
        <f>SUM(L46:L48)</f>
        <v>777.67107093474999</v>
      </c>
      <c r="M51" s="240">
        <f>SUM(M46:M48)</f>
        <v>886.1168485165939</v>
      </c>
      <c r="N51" s="240">
        <f>SUM(N46:N48)</f>
        <v>418.8293366772856</v>
      </c>
    </row>
    <row r="52" spans="1:14" s="219" customFormat="1" ht="3" customHeight="1" x14ac:dyDescent="0.2">
      <c r="A52" s="225"/>
      <c r="B52" s="241"/>
      <c r="C52" s="227"/>
      <c r="D52" s="228"/>
      <c r="E52" s="228"/>
      <c r="F52" s="228"/>
      <c r="G52" s="228"/>
      <c r="H52" s="228"/>
      <c r="I52" s="228"/>
      <c r="J52" s="228"/>
      <c r="K52" s="228"/>
      <c r="L52" s="228"/>
      <c r="M52" s="228"/>
      <c r="N52" s="228"/>
    </row>
    <row r="53" spans="1:14" s="209" customFormat="1" ht="15" customHeight="1" x14ac:dyDescent="0.2">
      <c r="A53" s="242"/>
      <c r="B53" s="243" t="s">
        <v>162</v>
      </c>
      <c r="C53" s="244"/>
      <c r="D53" s="245"/>
      <c r="E53" s="245"/>
      <c r="F53" s="245"/>
      <c r="G53" s="245"/>
      <c r="H53" s="245"/>
      <c r="I53" s="245"/>
      <c r="J53" s="245"/>
      <c r="K53" s="245"/>
      <c r="L53" s="245"/>
      <c r="M53" s="245"/>
      <c r="N53" s="245"/>
    </row>
    <row r="54" spans="1:14" s="209" customFormat="1" ht="15" customHeight="1" x14ac:dyDescent="0.2">
      <c r="A54" s="207"/>
      <c r="B54" s="93" t="s">
        <v>163</v>
      </c>
      <c r="C54" s="205" t="s">
        <v>160</v>
      </c>
      <c r="D54" s="233">
        <f>'izračun energentov'!D16</f>
        <v>2508.8627397414384</v>
      </c>
      <c r="E54" s="233">
        <f>'izračun energentov'!E16</f>
        <v>711.69980050722461</v>
      </c>
      <c r="F54" s="233">
        <f>'izračun energentov'!F16</f>
        <v>694.10722116884381</v>
      </c>
      <c r="G54" s="233">
        <f>'izračun energentov'!G16</f>
        <v>564.01099902234375</v>
      </c>
      <c r="H54" s="233">
        <f>'izračun energentov'!H16</f>
        <v>1174.7962375986383</v>
      </c>
      <c r="I54" s="233">
        <f>'izračun energentov'!I16</f>
        <v>1951.3376864655629</v>
      </c>
      <c r="J54" s="233">
        <f>'izračun energentov'!J16</f>
        <v>2684.3594301214207</v>
      </c>
      <c r="K54" s="233">
        <f>'izračun energentov'!K16</f>
        <v>1365.30612244898</v>
      </c>
      <c r="L54" s="233">
        <f>'izračun energentov'!L16</f>
        <v>700</v>
      </c>
      <c r="M54" s="233">
        <f>'izračun energentov'!M16</f>
        <v>633.33333333333326</v>
      </c>
      <c r="N54" s="233">
        <f>'izračun energentov'!N16</f>
        <v>578.26086956521738</v>
      </c>
    </row>
    <row r="55" spans="1:14" s="93" customFormat="1" ht="15" customHeight="1" x14ac:dyDescent="0.2">
      <c r="A55" s="203"/>
      <c r="B55" s="93" t="s">
        <v>164</v>
      </c>
      <c r="C55" s="205" t="s">
        <v>160</v>
      </c>
      <c r="D55" s="246">
        <f>G55*0.7</f>
        <v>21</v>
      </c>
      <c r="E55" s="246">
        <f>($I$18/1000)*15*0.1*0.5</f>
        <v>15</v>
      </c>
      <c r="F55" s="246">
        <f>($I$18/1000)*15*0.1*0.5</f>
        <v>15</v>
      </c>
      <c r="G55" s="246">
        <f>($I$18/1000)*15*0.1</f>
        <v>30</v>
      </c>
      <c r="H55" s="246">
        <f>($I$18/1000)*15*0.1*0.9</f>
        <v>27</v>
      </c>
      <c r="I55" s="246">
        <f>($I$18/1000)*15*0.1*0.7</f>
        <v>21</v>
      </c>
      <c r="J55" s="246">
        <f>($I$18/1000)*15*0.1*0.7</f>
        <v>21</v>
      </c>
      <c r="K55" s="246">
        <f>($I$18/1000)*15*0.1*0.7</f>
        <v>21</v>
      </c>
      <c r="L55" s="246">
        <f>($I$18/1000)*15*0.1*0.5</f>
        <v>15</v>
      </c>
      <c r="M55" s="246">
        <f>($I$18/1000)*15*0.1*1.3</f>
        <v>39</v>
      </c>
      <c r="N55" s="246">
        <f>($I$18/1000)*15*0.1*1.6</f>
        <v>48</v>
      </c>
    </row>
    <row r="56" spans="1:14" s="106" customFormat="1" ht="3" customHeight="1" x14ac:dyDescent="0.2">
      <c r="A56" s="247"/>
      <c r="B56" s="216"/>
      <c r="C56" s="217"/>
      <c r="D56" s="239"/>
      <c r="E56" s="239"/>
      <c r="F56" s="239"/>
      <c r="G56" s="239"/>
      <c r="H56" s="239"/>
      <c r="I56" s="239"/>
      <c r="J56" s="239"/>
      <c r="K56" s="239"/>
      <c r="L56" s="239"/>
      <c r="M56" s="239"/>
      <c r="N56" s="239"/>
    </row>
    <row r="57" spans="1:14" s="224" customFormat="1" ht="15" customHeight="1" x14ac:dyDescent="0.2">
      <c r="A57" s="220"/>
      <c r="B57" s="221" t="s">
        <v>165</v>
      </c>
      <c r="C57" s="222" t="s">
        <v>160</v>
      </c>
      <c r="D57" s="240">
        <f t="shared" ref="D57:J57" si="6">SUM(D54:D55)</f>
        <v>2529.8627397414384</v>
      </c>
      <c r="E57" s="240">
        <f t="shared" si="6"/>
        <v>726.69980050722461</v>
      </c>
      <c r="F57" s="240">
        <f t="shared" si="6"/>
        <v>709.10722116884381</v>
      </c>
      <c r="G57" s="240">
        <f t="shared" si="6"/>
        <v>594.01099902234375</v>
      </c>
      <c r="H57" s="240">
        <f t="shared" si="6"/>
        <v>1201.7962375986383</v>
      </c>
      <c r="I57" s="240">
        <f t="shared" si="6"/>
        <v>1972.3376864655629</v>
      </c>
      <c r="J57" s="240">
        <f t="shared" si="6"/>
        <v>2705.3594301214207</v>
      </c>
      <c r="K57" s="240">
        <f>SUM(K54:K55)</f>
        <v>1386.30612244898</v>
      </c>
      <c r="L57" s="240">
        <f>SUM(L54:L55)</f>
        <v>715</v>
      </c>
      <c r="M57" s="240">
        <f>SUM(M54:M55)</f>
        <v>672.33333333333326</v>
      </c>
      <c r="N57" s="240">
        <f>SUM(N54:N55)</f>
        <v>626.26086956521738</v>
      </c>
    </row>
    <row r="58" spans="1:14" s="106" customFormat="1" ht="3" customHeight="1" x14ac:dyDescent="0.2">
      <c r="A58" s="248"/>
      <c r="B58" s="249"/>
      <c r="C58" s="250"/>
      <c r="D58" s="251"/>
      <c r="E58" s="251"/>
      <c r="F58" s="251"/>
      <c r="G58" s="251"/>
      <c r="H58" s="251"/>
      <c r="I58" s="251"/>
      <c r="J58" s="251"/>
      <c r="K58" s="251"/>
      <c r="L58" s="251"/>
      <c r="M58" s="251"/>
      <c r="N58" s="251"/>
    </row>
    <row r="59" spans="1:14" s="106" customFormat="1" ht="3" customHeight="1" x14ac:dyDescent="0.2">
      <c r="A59" s="252"/>
      <c r="B59" s="253"/>
      <c r="C59" s="254"/>
      <c r="D59" s="237"/>
      <c r="E59" s="237"/>
      <c r="F59" s="237"/>
      <c r="G59" s="237"/>
      <c r="H59" s="237"/>
      <c r="I59" s="237"/>
      <c r="J59" s="237"/>
      <c r="K59" s="237"/>
      <c r="L59" s="237"/>
      <c r="M59" s="237"/>
      <c r="N59" s="237"/>
    </row>
    <row r="60" spans="1:14" s="209" customFormat="1" ht="15" customHeight="1" x14ac:dyDescent="0.2">
      <c r="A60" s="207"/>
      <c r="B60" s="209" t="s">
        <v>166</v>
      </c>
      <c r="C60" s="232"/>
      <c r="D60" s="255"/>
      <c r="E60" s="255"/>
      <c r="F60" s="255"/>
      <c r="G60" s="255"/>
      <c r="H60" s="255"/>
      <c r="I60" s="255"/>
      <c r="J60" s="255"/>
      <c r="K60" s="255"/>
      <c r="L60" s="255"/>
      <c r="M60" s="255"/>
      <c r="N60" s="255"/>
    </row>
    <row r="61" spans="1:14" s="209" customFormat="1" ht="15" customHeight="1" x14ac:dyDescent="0.2">
      <c r="A61" s="207"/>
      <c r="B61" s="93" t="s">
        <v>167</v>
      </c>
      <c r="C61" s="205" t="s">
        <v>160</v>
      </c>
      <c r="D61" s="233">
        <f>I61</f>
        <v>33</v>
      </c>
      <c r="E61" s="233">
        <f>E35*0.5*($I$11/100)</f>
        <v>39.75</v>
      </c>
      <c r="F61" s="233">
        <f>F35*0.7*($I$11/100)</f>
        <v>55.65</v>
      </c>
      <c r="G61" s="233">
        <f t="shared" ref="G61:N61" si="7">G35*($I$11/100)</f>
        <v>115</v>
      </c>
      <c r="H61" s="233">
        <f t="shared" si="7"/>
        <v>85</v>
      </c>
      <c r="I61" s="233">
        <f t="shared" si="7"/>
        <v>33</v>
      </c>
      <c r="J61" s="233">
        <f t="shared" si="7"/>
        <v>32</v>
      </c>
      <c r="K61" s="233">
        <f t="shared" si="7"/>
        <v>32</v>
      </c>
      <c r="L61" s="233">
        <f t="shared" si="7"/>
        <v>120</v>
      </c>
      <c r="M61" s="233">
        <f t="shared" si="7"/>
        <v>69</v>
      </c>
      <c r="N61" s="233">
        <f t="shared" si="7"/>
        <v>69</v>
      </c>
    </row>
    <row r="62" spans="1:14" s="209" customFormat="1" ht="15" customHeight="1" x14ac:dyDescent="0.2">
      <c r="A62" s="207"/>
      <c r="B62" s="93" t="s">
        <v>168</v>
      </c>
      <c r="C62" s="205" t="s">
        <v>160</v>
      </c>
      <c r="D62" s="233">
        <f>I62/2</f>
        <v>10.5</v>
      </c>
      <c r="E62" s="233">
        <f>E36*0.5*($I$12/100)</f>
        <v>10.5</v>
      </c>
      <c r="F62" s="233">
        <f>F36*0.5*($I$12/100)</f>
        <v>10.5</v>
      </c>
      <c r="G62" s="233">
        <f t="shared" ref="G62:N62" si="8">G36*($I$12/100)</f>
        <v>21</v>
      </c>
      <c r="H62" s="233">
        <f t="shared" si="8"/>
        <v>21</v>
      </c>
      <c r="I62" s="233">
        <f t="shared" si="8"/>
        <v>21</v>
      </c>
      <c r="J62" s="233">
        <f t="shared" si="8"/>
        <v>21</v>
      </c>
      <c r="K62" s="233">
        <f t="shared" si="8"/>
        <v>21</v>
      </c>
      <c r="L62" s="233">
        <f t="shared" si="8"/>
        <v>21</v>
      </c>
      <c r="M62" s="233">
        <f t="shared" si="8"/>
        <v>21</v>
      </c>
      <c r="N62" s="233">
        <f t="shared" si="8"/>
        <v>21</v>
      </c>
    </row>
    <row r="63" spans="1:14" s="209" customFormat="1" ht="15" customHeight="1" x14ac:dyDescent="0.2">
      <c r="A63" s="207"/>
      <c r="B63" s="93" t="s">
        <v>169</v>
      </c>
      <c r="C63" s="205" t="s">
        <v>160</v>
      </c>
      <c r="D63" s="233">
        <f>I63</f>
        <v>12</v>
      </c>
      <c r="E63" s="233">
        <f t="shared" ref="E63" si="9">E37*($I$13/100)</f>
        <v>8</v>
      </c>
      <c r="F63" s="233">
        <f t="shared" ref="F63:N63" si="10">F37*($I$13/100)</f>
        <v>8</v>
      </c>
      <c r="G63" s="233">
        <f t="shared" si="10"/>
        <v>48</v>
      </c>
      <c r="H63" s="233">
        <f t="shared" si="10"/>
        <v>27</v>
      </c>
      <c r="I63" s="233">
        <f t="shared" si="10"/>
        <v>12</v>
      </c>
      <c r="J63" s="233">
        <f t="shared" si="10"/>
        <v>4.75</v>
      </c>
      <c r="K63" s="233">
        <f t="shared" si="10"/>
        <v>14.25</v>
      </c>
      <c r="L63" s="233">
        <f t="shared" si="10"/>
        <v>0</v>
      </c>
      <c r="M63" s="233">
        <f t="shared" si="10"/>
        <v>75</v>
      </c>
      <c r="N63" s="233">
        <f t="shared" si="10"/>
        <v>9.5</v>
      </c>
    </row>
    <row r="64" spans="1:14" s="93" customFormat="1" ht="15" customHeight="1" x14ac:dyDescent="0.2">
      <c r="A64" s="203"/>
      <c r="B64" s="93" t="s">
        <v>170</v>
      </c>
      <c r="C64" s="205" t="s">
        <v>160</v>
      </c>
      <c r="D64" s="246">
        <f>I64</f>
        <v>32</v>
      </c>
      <c r="E64" s="246">
        <f>D64</f>
        <v>32</v>
      </c>
      <c r="F64" s="246">
        <v>38</v>
      </c>
      <c r="G64" s="246">
        <f>(I18/1000)*2</f>
        <v>40</v>
      </c>
      <c r="H64" s="246">
        <v>34</v>
      </c>
      <c r="I64" s="246">
        <f>G64*0.8</f>
        <v>32</v>
      </c>
      <c r="J64" s="246">
        <f>G64*0.7</f>
        <v>28</v>
      </c>
      <c r="K64" s="246">
        <f>H64*0.7</f>
        <v>23.799999999999997</v>
      </c>
      <c r="L64" s="246">
        <f>H64*0.7</f>
        <v>23.799999999999997</v>
      </c>
      <c r="M64" s="246">
        <f>I64*0.7</f>
        <v>22.4</v>
      </c>
      <c r="N64" s="246">
        <f>J64*0.7</f>
        <v>19.599999999999998</v>
      </c>
    </row>
    <row r="65" spans="1:14" s="93" customFormat="1" ht="15" customHeight="1" x14ac:dyDescent="0.2">
      <c r="A65" s="203"/>
      <c r="B65" s="93" t="s">
        <v>171</v>
      </c>
      <c r="C65" s="205" t="s">
        <v>160</v>
      </c>
      <c r="D65" s="246">
        <f>I65</f>
        <v>20</v>
      </c>
      <c r="E65" s="246">
        <f>D65</f>
        <v>20</v>
      </c>
      <c r="F65" s="246">
        <f>E65</f>
        <v>20</v>
      </c>
      <c r="G65" s="246">
        <f>'vhodni podatki'!E155</f>
        <v>20</v>
      </c>
      <c r="H65" s="246">
        <f>G65</f>
        <v>20</v>
      </c>
      <c r="I65" s="246">
        <f>G65</f>
        <v>20</v>
      </c>
      <c r="J65" s="246">
        <f>G65</f>
        <v>20</v>
      </c>
      <c r="K65" s="246">
        <f>H65</f>
        <v>20</v>
      </c>
      <c r="L65" s="246">
        <v>0</v>
      </c>
      <c r="M65" s="246">
        <v>0</v>
      </c>
      <c r="N65" s="246">
        <v>0</v>
      </c>
    </row>
    <row r="66" spans="1:14" s="93" customFormat="1" ht="15" customHeight="1" x14ac:dyDescent="0.2">
      <c r="A66" s="203"/>
      <c r="B66" s="93" t="s">
        <v>172</v>
      </c>
      <c r="C66" s="205" t="s">
        <v>160</v>
      </c>
      <c r="D66" s="246">
        <f>I66</f>
        <v>8</v>
      </c>
      <c r="E66" s="246">
        <f>D66</f>
        <v>8</v>
      </c>
      <c r="F66" s="246">
        <f>E66</f>
        <v>8</v>
      </c>
      <c r="G66" s="246">
        <f>(I18/1000)*0.5</f>
        <v>10</v>
      </c>
      <c r="H66" s="246">
        <f>G66*0.9</f>
        <v>9</v>
      </c>
      <c r="I66" s="246">
        <f>G66*0.8</f>
        <v>8</v>
      </c>
      <c r="J66" s="246">
        <v>33</v>
      </c>
      <c r="K66" s="246">
        <f>H66*0.8</f>
        <v>7.2</v>
      </c>
      <c r="L66" s="246">
        <f>H66*0.8</f>
        <v>7.2</v>
      </c>
      <c r="M66" s="246">
        <f>I66*0.8</f>
        <v>6.4</v>
      </c>
      <c r="N66" s="246">
        <f>J66*0.8</f>
        <v>26.400000000000002</v>
      </c>
    </row>
    <row r="67" spans="1:14" s="106" customFormat="1" ht="3" customHeight="1" x14ac:dyDescent="0.2">
      <c r="A67" s="247"/>
      <c r="B67" s="216"/>
      <c r="C67" s="217"/>
      <c r="D67" s="239"/>
      <c r="E67" s="239"/>
      <c r="F67" s="239"/>
      <c r="G67" s="239"/>
      <c r="H67" s="239"/>
      <c r="I67" s="239"/>
      <c r="J67" s="239"/>
      <c r="K67" s="239"/>
      <c r="L67" s="239"/>
      <c r="M67" s="239"/>
      <c r="N67" s="239"/>
    </row>
    <row r="68" spans="1:14" s="224" customFormat="1" ht="15" customHeight="1" x14ac:dyDescent="0.2">
      <c r="A68" s="220"/>
      <c r="B68" s="256" t="s">
        <v>173</v>
      </c>
      <c r="C68" s="257" t="s">
        <v>160</v>
      </c>
      <c r="D68" s="240">
        <f t="shared" ref="D68:K68" si="11">SUM(D61:D66)</f>
        <v>115.5</v>
      </c>
      <c r="E68" s="240">
        <f t="shared" si="11"/>
        <v>118.25</v>
      </c>
      <c r="F68" s="240">
        <f t="shared" si="11"/>
        <v>140.15</v>
      </c>
      <c r="G68" s="240">
        <f t="shared" si="11"/>
        <v>254</v>
      </c>
      <c r="H68" s="240">
        <f t="shared" si="11"/>
        <v>196</v>
      </c>
      <c r="I68" s="240">
        <f t="shared" si="11"/>
        <v>126</v>
      </c>
      <c r="J68" s="240">
        <f t="shared" si="11"/>
        <v>138.75</v>
      </c>
      <c r="K68" s="240">
        <f t="shared" si="11"/>
        <v>118.25</v>
      </c>
      <c r="L68" s="240">
        <f>SUM(L61:L66)</f>
        <v>172</v>
      </c>
      <c r="M68" s="240">
        <f>SUM(M61:M66)</f>
        <v>193.8</v>
      </c>
      <c r="N68" s="240">
        <f>SUM(N61:N66)</f>
        <v>145.5</v>
      </c>
    </row>
    <row r="69" spans="1:14" s="106" customFormat="1" ht="3" customHeight="1" x14ac:dyDescent="0.2">
      <c r="A69" s="248"/>
      <c r="B69" s="249"/>
      <c r="C69" s="250"/>
      <c r="D69" s="251"/>
      <c r="E69" s="251"/>
      <c r="F69" s="251"/>
      <c r="G69" s="251"/>
      <c r="H69" s="251"/>
      <c r="I69" s="251"/>
      <c r="J69" s="251"/>
      <c r="K69" s="251"/>
      <c r="L69" s="251"/>
      <c r="M69" s="251"/>
      <c r="N69" s="251"/>
    </row>
    <row r="70" spans="1:14" s="106" customFormat="1" ht="3" customHeight="1" x14ac:dyDescent="0.2">
      <c r="A70" s="252"/>
      <c r="B70" s="253"/>
      <c r="C70" s="254"/>
      <c r="D70" s="237"/>
      <c r="E70" s="237"/>
      <c r="F70" s="237"/>
      <c r="G70" s="237"/>
      <c r="H70" s="237"/>
      <c r="I70" s="237"/>
      <c r="J70" s="237"/>
      <c r="K70" s="237"/>
      <c r="L70" s="237"/>
      <c r="M70" s="237"/>
      <c r="N70" s="237"/>
    </row>
    <row r="71" spans="1:14" s="93" customFormat="1" ht="15" customHeight="1" x14ac:dyDescent="0.2">
      <c r="A71" s="203"/>
      <c r="B71" s="209" t="s">
        <v>174</v>
      </c>
      <c r="C71" s="258"/>
      <c r="D71" s="233"/>
      <c r="E71" s="233"/>
      <c r="F71" s="233"/>
      <c r="G71" s="233"/>
      <c r="H71" s="233"/>
      <c r="I71" s="233"/>
      <c r="J71" s="233"/>
      <c r="K71" s="233"/>
      <c r="L71" s="233"/>
      <c r="M71" s="233"/>
      <c r="N71" s="233"/>
    </row>
    <row r="72" spans="1:14" s="93" customFormat="1" ht="15" customHeight="1" x14ac:dyDescent="0.2">
      <c r="A72" s="203"/>
      <c r="B72" s="93" t="s">
        <v>175</v>
      </c>
      <c r="C72" s="205" t="s">
        <v>160</v>
      </c>
      <c r="D72" s="246">
        <f>I72</f>
        <v>16.2</v>
      </c>
      <c r="E72" s="246">
        <f t="shared" ref="E72:F72" si="12">(E35+E36)*0.002</f>
        <v>20.100000000000001</v>
      </c>
      <c r="F72" s="246">
        <f t="shared" si="12"/>
        <v>20.100000000000001</v>
      </c>
      <c r="G72" s="246">
        <f>(G35+G36)*0.002</f>
        <v>27.2</v>
      </c>
      <c r="H72" s="246">
        <f>(H35+H36)*0.002</f>
        <v>21.2</v>
      </c>
      <c r="I72" s="246">
        <f t="shared" ref="I72:N72" si="13">(I35+I36)*0.003</f>
        <v>16.2</v>
      </c>
      <c r="J72" s="246">
        <f t="shared" si="13"/>
        <v>15.9</v>
      </c>
      <c r="K72" s="246">
        <f t="shared" si="13"/>
        <v>15.9</v>
      </c>
      <c r="L72" s="246">
        <f t="shared" si="13"/>
        <v>42.300000000000004</v>
      </c>
      <c r="M72" s="246">
        <f t="shared" si="13"/>
        <v>27</v>
      </c>
      <c r="N72" s="246">
        <f t="shared" si="13"/>
        <v>27</v>
      </c>
    </row>
    <row r="73" spans="1:14" s="106" customFormat="1" ht="3" customHeight="1" x14ac:dyDescent="0.2">
      <c r="A73" s="247"/>
      <c r="B73" s="216"/>
      <c r="C73" s="217"/>
      <c r="D73" s="239"/>
      <c r="E73" s="239"/>
      <c r="F73" s="239"/>
      <c r="G73" s="239"/>
      <c r="H73" s="239"/>
      <c r="I73" s="239"/>
      <c r="J73" s="239"/>
      <c r="K73" s="239"/>
      <c r="L73" s="239"/>
      <c r="M73" s="239"/>
      <c r="N73" s="239"/>
    </row>
    <row r="74" spans="1:14" s="224" customFormat="1" ht="15" customHeight="1" x14ac:dyDescent="0.2">
      <c r="A74" s="220"/>
      <c r="B74" s="256" t="s">
        <v>176</v>
      </c>
      <c r="C74" s="222" t="s">
        <v>160</v>
      </c>
      <c r="D74" s="240">
        <f t="shared" ref="D74:K74" si="14">D72</f>
        <v>16.2</v>
      </c>
      <c r="E74" s="240">
        <f t="shared" si="14"/>
        <v>20.100000000000001</v>
      </c>
      <c r="F74" s="240">
        <f t="shared" si="14"/>
        <v>20.100000000000001</v>
      </c>
      <c r="G74" s="240">
        <f t="shared" si="14"/>
        <v>27.2</v>
      </c>
      <c r="H74" s="240">
        <f t="shared" si="14"/>
        <v>21.2</v>
      </c>
      <c r="I74" s="240">
        <f t="shared" si="14"/>
        <v>16.2</v>
      </c>
      <c r="J74" s="240">
        <f>J72</f>
        <v>15.9</v>
      </c>
      <c r="K74" s="240">
        <f t="shared" si="14"/>
        <v>15.9</v>
      </c>
      <c r="L74" s="240">
        <f>L72</f>
        <v>42.300000000000004</v>
      </c>
      <c r="M74" s="240">
        <f>M72</f>
        <v>27</v>
      </c>
      <c r="N74" s="240">
        <f>N72</f>
        <v>27</v>
      </c>
    </row>
    <row r="75" spans="1:14" s="106" customFormat="1" ht="3" customHeight="1" x14ac:dyDescent="0.2">
      <c r="A75" s="259"/>
      <c r="B75" s="226"/>
      <c r="C75" s="260"/>
      <c r="D75" s="228"/>
      <c r="E75" s="228"/>
      <c r="F75" s="228"/>
      <c r="G75" s="228"/>
      <c r="H75" s="228"/>
      <c r="I75" s="228"/>
      <c r="J75" s="228"/>
      <c r="K75" s="228"/>
      <c r="L75" s="228"/>
      <c r="M75" s="228"/>
      <c r="N75" s="228"/>
    </row>
    <row r="76" spans="1:14" s="106" customFormat="1" ht="3" customHeight="1" x14ac:dyDescent="0.2">
      <c r="A76" s="261"/>
      <c r="B76" s="262"/>
      <c r="C76" s="263"/>
      <c r="D76" s="264"/>
      <c r="E76" s="264"/>
      <c r="F76" s="264"/>
      <c r="G76" s="264"/>
      <c r="H76" s="264"/>
      <c r="I76" s="264"/>
      <c r="J76" s="264"/>
      <c r="K76" s="264"/>
      <c r="L76" s="264"/>
      <c r="M76" s="264"/>
      <c r="N76" s="264"/>
    </row>
    <row r="77" spans="1:14" s="269" customFormat="1" ht="15" customHeight="1" x14ac:dyDescent="0.2">
      <c r="A77" s="265"/>
      <c r="B77" s="266" t="s">
        <v>177</v>
      </c>
      <c r="C77" s="267" t="s">
        <v>160</v>
      </c>
      <c r="D77" s="268">
        <f>D74+D68+D57</f>
        <v>2661.5627397414382</v>
      </c>
      <c r="E77" s="268">
        <f>E74+E68+E57+E51</f>
        <v>1339.6926370898686</v>
      </c>
      <c r="F77" s="268">
        <f t="shared" ref="F77:J77" si="15">F74+F68+F57+F51</f>
        <v>1344.0000577514879</v>
      </c>
      <c r="G77" s="268">
        <f t="shared" si="15"/>
        <v>1873.3926144463439</v>
      </c>
      <c r="H77" s="268">
        <f t="shared" si="15"/>
        <v>2076.1622613076543</v>
      </c>
      <c r="I77" s="268">
        <f t="shared" si="15"/>
        <v>2550.1529352515772</v>
      </c>
      <c r="J77" s="268">
        <f t="shared" si="15"/>
        <v>3244.4563938432825</v>
      </c>
      <c r="K77" s="268">
        <f>K74+K68+K57+K51</f>
        <v>1963.1665522431558</v>
      </c>
      <c r="L77" s="268">
        <f>L74+L68+L57+L51</f>
        <v>1706.9710709347501</v>
      </c>
      <c r="M77" s="268">
        <f>M74+M68+M57+M51</f>
        <v>1779.2501818499272</v>
      </c>
      <c r="N77" s="268">
        <f>N74+N68+N57+N51</f>
        <v>1217.590206242503</v>
      </c>
    </row>
    <row r="78" spans="1:14" s="106" customFormat="1" ht="3" customHeight="1" x14ac:dyDescent="0.2">
      <c r="A78" s="259"/>
      <c r="B78" s="241"/>
      <c r="C78" s="260"/>
      <c r="D78" s="228"/>
      <c r="E78" s="228"/>
      <c r="F78" s="228"/>
      <c r="G78" s="228"/>
      <c r="H78" s="228"/>
      <c r="I78" s="228"/>
      <c r="J78" s="228"/>
      <c r="K78" s="228"/>
      <c r="L78" s="228"/>
      <c r="M78" s="228"/>
      <c r="N78" s="228"/>
    </row>
    <row r="79" spans="1:14" s="106" customFormat="1" ht="3" customHeight="1" x14ac:dyDescent="0.2">
      <c r="A79" s="247"/>
      <c r="B79" s="216"/>
      <c r="C79" s="217"/>
      <c r="D79" s="239"/>
      <c r="E79" s="239"/>
      <c r="F79" s="239"/>
      <c r="G79" s="239"/>
      <c r="H79" s="239"/>
      <c r="I79" s="239"/>
      <c r="J79" s="239"/>
      <c r="K79" s="239"/>
      <c r="L79" s="239"/>
      <c r="M79" s="239"/>
      <c r="N79" s="239"/>
    </row>
    <row r="80" spans="1:14" s="269" customFormat="1" ht="15" customHeight="1" x14ac:dyDescent="0.2">
      <c r="A80" s="265"/>
      <c r="B80" s="266" t="s">
        <v>178</v>
      </c>
      <c r="C80" s="267" t="s">
        <v>179</v>
      </c>
      <c r="D80" s="270">
        <f t="shared" ref="D80:K80" si="16">1000*D77/$I$18</f>
        <v>133.0781369870719</v>
      </c>
      <c r="E80" s="270">
        <f t="shared" si="16"/>
        <v>66.984631854493429</v>
      </c>
      <c r="F80" s="270">
        <f t="shared" si="16"/>
        <v>67.200002887574399</v>
      </c>
      <c r="G80" s="270">
        <f t="shared" si="16"/>
        <v>93.669630722317194</v>
      </c>
      <c r="H80" s="270">
        <f t="shared" si="16"/>
        <v>103.80811306538271</v>
      </c>
      <c r="I80" s="270">
        <f t="shared" si="16"/>
        <v>127.50764676257886</v>
      </c>
      <c r="J80" s="270">
        <f t="shared" si="16"/>
        <v>162.22281969216414</v>
      </c>
      <c r="K80" s="270">
        <f t="shared" si="16"/>
        <v>98.158327612157791</v>
      </c>
      <c r="L80" s="270">
        <f>1000*L77/$I$18</f>
        <v>85.348553546737506</v>
      </c>
      <c r="M80" s="270">
        <f>1000*M77/$I$18</f>
        <v>88.962509092496362</v>
      </c>
      <c r="N80" s="270">
        <f>1000*N77/$I$18</f>
        <v>60.879510312125142</v>
      </c>
    </row>
    <row r="81" spans="1:14" s="106" customFormat="1" ht="3" customHeight="1" x14ac:dyDescent="0.2">
      <c r="A81" s="248"/>
      <c r="B81" s="249"/>
      <c r="C81" s="271"/>
      <c r="D81" s="272"/>
      <c r="E81" s="272"/>
      <c r="F81" s="272"/>
      <c r="G81" s="272"/>
      <c r="H81" s="272"/>
      <c r="I81" s="272"/>
      <c r="J81" s="272"/>
      <c r="K81" s="272"/>
      <c r="L81" s="272"/>
      <c r="M81" s="272"/>
      <c r="N81" s="272"/>
    </row>
    <row r="82" spans="1:14" ht="9.75" customHeight="1" x14ac:dyDescent="0.2"/>
    <row r="83" spans="1:14" s="10" customFormat="1" ht="10.5" customHeight="1" x14ac:dyDescent="0.25">
      <c r="B83" s="276"/>
    </row>
    <row r="84" spans="1:14" x14ac:dyDescent="0.2">
      <c r="D84" s="277"/>
    </row>
    <row r="85" spans="1:14" ht="13.5" x14ac:dyDescent="0.25">
      <c r="B85" s="278"/>
    </row>
  </sheetData>
  <mergeCells count="1">
    <mergeCell ref="D28:E28"/>
  </mergeCells>
  <printOptions horizontalCentered="1"/>
  <pageMargins left="0.59055118110236227" right="0.59055118110236227" top="0.59055118110236227" bottom="0.59055118110236227" header="0.51181102362204722" footer="0.51181102362204722"/>
  <pageSetup paperSize="9"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view="pageBreakPreview" zoomScale="85" zoomScaleNormal="100" zoomScaleSheetLayoutView="85" workbookViewId="0">
      <selection activeCell="N24" sqref="N24"/>
    </sheetView>
  </sheetViews>
  <sheetFormatPr defaultColWidth="11.42578125" defaultRowHeight="12.75" x14ac:dyDescent="0.2"/>
  <cols>
    <col min="1" max="1" width="0.85546875" style="273" customWidth="1"/>
    <col min="2" max="2" width="34" style="273" customWidth="1"/>
    <col min="3" max="3" width="10" style="274" customWidth="1"/>
    <col min="4" max="4" width="0.85546875" style="274" customWidth="1"/>
    <col min="5" max="5" width="16.42578125" style="274" customWidth="1"/>
    <col min="6" max="7" width="17.7109375" style="274" customWidth="1"/>
    <col min="8" max="8" width="12.140625" style="182" customWidth="1"/>
    <col min="9" max="9" width="12.140625" style="181" customWidth="1"/>
    <col min="10" max="12" width="12.140625" style="183" customWidth="1"/>
    <col min="13" max="15" width="14.28515625" style="273" customWidth="1"/>
    <col min="16" max="16384" width="11.42578125" style="273"/>
  </cols>
  <sheetData>
    <row r="1" spans="1:15" ht="3.75" customHeight="1" x14ac:dyDescent="0.25">
      <c r="C1" s="279"/>
      <c r="D1" s="279"/>
      <c r="E1" s="279"/>
      <c r="F1" s="279"/>
      <c r="G1" s="279"/>
    </row>
    <row r="2" spans="1:15" ht="3.75" customHeight="1" x14ac:dyDescent="0.25">
      <c r="C2" s="279"/>
      <c r="D2" s="279"/>
      <c r="E2" s="279"/>
      <c r="F2" s="279"/>
      <c r="G2" s="279"/>
    </row>
    <row r="3" spans="1:15" s="82" customFormat="1" ht="18" x14ac:dyDescent="0.25">
      <c r="B3" s="15" t="s">
        <v>46</v>
      </c>
      <c r="C3" s="280"/>
      <c r="D3" s="280"/>
      <c r="E3" s="280"/>
      <c r="F3" s="280"/>
      <c r="G3" s="280"/>
      <c r="J3" s="83"/>
      <c r="K3" s="83"/>
      <c r="L3" s="83"/>
    </row>
    <row r="4" spans="1:15" s="285" customFormat="1" x14ac:dyDescent="0.2">
      <c r="A4" s="281"/>
      <c r="B4" s="102" t="s">
        <v>133</v>
      </c>
      <c r="C4" s="282">
        <f>'stroški investicije'!C18</f>
        <v>20</v>
      </c>
      <c r="D4" s="283"/>
      <c r="E4" s="104" t="s">
        <v>135</v>
      </c>
      <c r="F4" s="281"/>
      <c r="G4" s="281"/>
      <c r="H4" s="281"/>
      <c r="I4" s="281"/>
      <c r="J4" s="284"/>
      <c r="K4" s="284"/>
      <c r="L4" s="284"/>
    </row>
    <row r="5" spans="1:15" s="151" customFormat="1" ht="15" customHeight="1" x14ac:dyDescent="0.2">
      <c r="A5" s="147"/>
      <c r="B5" s="119" t="s">
        <v>180</v>
      </c>
      <c r="C5" s="286">
        <f>'stroški investicije'!G18</f>
        <v>1000</v>
      </c>
      <c r="D5" s="147"/>
      <c r="E5" s="153" t="s">
        <v>136</v>
      </c>
      <c r="F5" s="147"/>
      <c r="G5" s="147"/>
      <c r="H5" s="147"/>
      <c r="I5" s="153"/>
      <c r="J5" s="153"/>
      <c r="K5" s="153"/>
      <c r="L5" s="153"/>
    </row>
    <row r="6" spans="1:15" s="151" customFormat="1" ht="15" customHeight="1" x14ac:dyDescent="0.2">
      <c r="A6" s="287"/>
      <c r="B6" s="288" t="s">
        <v>181</v>
      </c>
      <c r="C6" s="289">
        <f>'stroški investicije'!I18</f>
        <v>20000</v>
      </c>
      <c r="D6" s="287"/>
      <c r="E6" s="290" t="s">
        <v>137</v>
      </c>
      <c r="F6" s="287"/>
      <c r="G6" s="287"/>
      <c r="H6" s="287"/>
      <c r="I6" s="290"/>
      <c r="J6" s="290"/>
      <c r="K6" s="290"/>
      <c r="L6" s="290"/>
    </row>
    <row r="7" spans="1:15" s="181" customFormat="1" ht="6" customHeight="1" x14ac:dyDescent="0.2">
      <c r="A7" s="180"/>
      <c r="C7" s="291"/>
      <c r="D7" s="291"/>
      <c r="E7" s="291"/>
      <c r="F7" s="291"/>
      <c r="G7" s="291"/>
      <c r="H7" s="182"/>
      <c r="J7" s="183"/>
      <c r="K7" s="183"/>
      <c r="L7" s="183"/>
    </row>
    <row r="8" spans="1:15" s="188" customFormat="1" ht="6" customHeight="1" x14ac:dyDescent="0.2">
      <c r="A8" s="292"/>
      <c r="B8" s="293"/>
      <c r="C8" s="294"/>
      <c r="D8" s="295"/>
      <c r="E8" s="296"/>
      <c r="F8" s="297"/>
      <c r="G8" s="297"/>
      <c r="H8" s="297"/>
      <c r="I8" s="297"/>
      <c r="J8" s="297"/>
      <c r="K8" s="297"/>
      <c r="L8" s="297"/>
      <c r="M8" s="295"/>
      <c r="N8" s="295"/>
      <c r="O8" s="295"/>
    </row>
    <row r="9" spans="1:15" s="285" customFormat="1" ht="30.75" customHeight="1" x14ac:dyDescent="0.2">
      <c r="A9" s="298"/>
      <c r="B9" s="299"/>
      <c r="C9" s="300" t="s">
        <v>150</v>
      </c>
      <c r="D9" s="301"/>
      <c r="E9" s="302" t="s">
        <v>182</v>
      </c>
      <c r="F9" s="303" t="str">
        <f>+'izračun energentov'!E9</f>
        <v>Polena (bukev)</v>
      </c>
      <c r="G9" s="303" t="str">
        <f>+'izračun energentov'!F9</f>
        <v>Polena (iglavci)</v>
      </c>
      <c r="H9" s="303" t="str">
        <f>+'izračun energentov'!G9</f>
        <v>Sekanci</v>
      </c>
      <c r="I9" s="303" t="str">
        <f>+'izračun energentov'!H9</f>
        <v>Peleti</v>
      </c>
      <c r="J9" s="303" t="str">
        <f>+'izračun energentov'!I9</f>
        <v>ELKO</v>
      </c>
      <c r="K9" s="303" t="str">
        <f>+'izračun energentov'!J9</f>
        <v>UNP</v>
      </c>
      <c r="L9" s="303" t="str">
        <f>+'izračun energentov'!K9</f>
        <v>ZP</v>
      </c>
      <c r="M9" s="301" t="str">
        <f>+'izračun energentov'!L9</f>
        <v>TČ zrak/voda</v>
      </c>
      <c r="N9" s="301" t="str">
        <f>+'izračun energentov'!M9</f>
        <v>TČ zemlja/voda</v>
      </c>
      <c r="O9" s="301" t="str">
        <f>+'izračun energentov'!N9</f>
        <v>TČ voda/voda</v>
      </c>
    </row>
    <row r="10" spans="1:15" s="198" customFormat="1" ht="6" customHeight="1" x14ac:dyDescent="0.2">
      <c r="A10" s="304"/>
      <c r="B10" s="305"/>
      <c r="C10" s="306"/>
      <c r="D10" s="307"/>
      <c r="E10" s="308"/>
      <c r="F10" s="309"/>
      <c r="G10" s="309"/>
      <c r="H10" s="309"/>
      <c r="I10" s="309"/>
      <c r="J10" s="309"/>
      <c r="K10" s="309"/>
      <c r="L10" s="309"/>
      <c r="M10" s="307"/>
      <c r="N10" s="307"/>
      <c r="O10" s="307"/>
    </row>
    <row r="11" spans="1:15" s="106" customFormat="1" ht="3" customHeight="1" x14ac:dyDescent="0.2">
      <c r="A11" s="310"/>
      <c r="B11" s="101"/>
      <c r="C11" s="311"/>
      <c r="D11" s="312"/>
      <c r="E11" s="313"/>
      <c r="F11" s="314"/>
      <c r="G11" s="314"/>
      <c r="H11" s="314"/>
      <c r="I11" s="101"/>
      <c r="J11" s="314"/>
      <c r="K11" s="314"/>
      <c r="L11" s="314"/>
      <c r="M11" s="315"/>
      <c r="N11" s="315"/>
      <c r="O11" s="315"/>
    </row>
    <row r="12" spans="1:15" s="219" customFormat="1" ht="15" customHeight="1" x14ac:dyDescent="0.2">
      <c r="A12" s="235"/>
      <c r="B12" s="106" t="s">
        <v>183</v>
      </c>
      <c r="C12" s="316" t="str">
        <f>'stroški investicije'!C35</f>
        <v>[€]</v>
      </c>
      <c r="D12" s="254"/>
      <c r="E12" s="99" t="str">
        <f>'stroški investicije'!D35</f>
        <v>/</v>
      </c>
      <c r="F12" s="99">
        <f>'stroški investicije'!E35</f>
        <v>7950</v>
      </c>
      <c r="G12" s="99">
        <f>'stroški investicije'!F35</f>
        <v>7950</v>
      </c>
      <c r="H12" s="99">
        <f>'stroški investicije'!G35</f>
        <v>11500</v>
      </c>
      <c r="I12" s="99">
        <f>'stroški investicije'!H35</f>
        <v>8500</v>
      </c>
      <c r="J12" s="99">
        <f>'stroški investicije'!I35</f>
        <v>3300</v>
      </c>
      <c r="K12" s="99">
        <f>'stroški investicije'!J35</f>
        <v>3200</v>
      </c>
      <c r="L12" s="99">
        <f>'stroški investicije'!K35</f>
        <v>3200</v>
      </c>
      <c r="M12" s="99">
        <f>'stroški investicije'!L35</f>
        <v>12000</v>
      </c>
      <c r="N12" s="99">
        <f>'stroški investicije'!M35</f>
        <v>6900</v>
      </c>
      <c r="O12" s="99">
        <f>'stroški investicije'!N35</f>
        <v>6900</v>
      </c>
    </row>
    <row r="13" spans="1:15" s="219" customFormat="1" ht="15" customHeight="1" x14ac:dyDescent="0.2">
      <c r="A13" s="235"/>
      <c r="B13" s="106" t="s">
        <v>184</v>
      </c>
      <c r="C13" s="316" t="str">
        <f>'stroški investicije'!C37</f>
        <v>[€]</v>
      </c>
      <c r="D13" s="254"/>
      <c r="E13" s="99" t="str">
        <f>'stroški investicije'!D36</f>
        <v>/</v>
      </c>
      <c r="F13" s="99">
        <f>'stroški investicije'!E36</f>
        <v>2100</v>
      </c>
      <c r="G13" s="99">
        <f>'stroški investicije'!F36</f>
        <v>2100</v>
      </c>
      <c r="H13" s="99">
        <f>'stroški investicije'!G36</f>
        <v>2100</v>
      </c>
      <c r="I13" s="99">
        <f>'stroški investicije'!H36</f>
        <v>2100</v>
      </c>
      <c r="J13" s="99">
        <f>'stroški investicije'!I36</f>
        <v>2100</v>
      </c>
      <c r="K13" s="99">
        <f>'stroški investicije'!J36</f>
        <v>2100</v>
      </c>
      <c r="L13" s="99">
        <f>'stroški investicije'!K36</f>
        <v>2100</v>
      </c>
      <c r="M13" s="99">
        <f>'stroški investicije'!L36</f>
        <v>2100</v>
      </c>
      <c r="N13" s="99">
        <f>'stroški investicije'!M36</f>
        <v>2100</v>
      </c>
      <c r="O13" s="99">
        <f>'stroški investicije'!N36</f>
        <v>2100</v>
      </c>
    </row>
    <row r="14" spans="1:15" s="219" customFormat="1" ht="15" customHeight="1" x14ac:dyDescent="0.2">
      <c r="A14" s="235"/>
      <c r="B14" s="106" t="s">
        <v>185</v>
      </c>
      <c r="C14" s="316" t="str">
        <f>'stroški investicije'!C38</f>
        <v>[€]</v>
      </c>
      <c r="D14" s="254"/>
      <c r="E14" s="99" t="str">
        <f>'stroški investicije'!D37</f>
        <v>/</v>
      </c>
      <c r="F14" s="99">
        <f>'stroški investicije'!E37</f>
        <v>1600</v>
      </c>
      <c r="G14" s="99">
        <f>'stroški investicije'!F37</f>
        <v>1600</v>
      </c>
      <c r="H14" s="99">
        <f>'stroški investicije'!G37</f>
        <v>9600</v>
      </c>
      <c r="I14" s="99">
        <f>'stroški investicije'!H37</f>
        <v>5400</v>
      </c>
      <c r="J14" s="99">
        <f>'stroški investicije'!I37</f>
        <v>2400</v>
      </c>
      <c r="K14" s="99">
        <f>'stroški investicije'!J37</f>
        <v>950</v>
      </c>
      <c r="L14" s="99">
        <f>'stroški investicije'!K37</f>
        <v>2850</v>
      </c>
      <c r="M14" s="99">
        <f>'stroški investicije'!L37</f>
        <v>0</v>
      </c>
      <c r="N14" s="99">
        <f>'stroški investicije'!M37</f>
        <v>15000</v>
      </c>
      <c r="O14" s="99">
        <f>'stroški investicije'!N37</f>
        <v>1900</v>
      </c>
    </row>
    <row r="15" spans="1:15" s="219" customFormat="1" ht="3" customHeight="1" x14ac:dyDescent="0.2">
      <c r="A15" s="215"/>
      <c r="B15" s="216"/>
      <c r="C15" s="319"/>
      <c r="D15" s="217"/>
      <c r="E15" s="320"/>
      <c r="F15" s="320"/>
      <c r="G15" s="320"/>
      <c r="H15" s="320"/>
      <c r="I15" s="320"/>
      <c r="J15" s="320"/>
      <c r="K15" s="320"/>
      <c r="L15" s="320"/>
      <c r="M15" s="321"/>
      <c r="N15" s="321"/>
      <c r="O15" s="321"/>
    </row>
    <row r="16" spans="1:15" s="327" customFormat="1" ht="15" customHeight="1" x14ac:dyDescent="0.2">
      <c r="A16" s="322"/>
      <c r="B16" s="323" t="s">
        <v>186</v>
      </c>
      <c r="C16" s="324" t="str">
        <f>'stroški investicije'!C38</f>
        <v>[€]</v>
      </c>
      <c r="D16" s="325"/>
      <c r="E16" s="326" t="str">
        <f>'stroški investicije'!D38</f>
        <v>/</v>
      </c>
      <c r="F16" s="326">
        <f>'stroški investicije'!E38</f>
        <v>11650</v>
      </c>
      <c r="G16" s="326">
        <f>'stroški investicije'!F38</f>
        <v>11650</v>
      </c>
      <c r="H16" s="326">
        <f>'stroški investicije'!G38</f>
        <v>23200</v>
      </c>
      <c r="I16" s="326">
        <f>'stroški investicije'!H38</f>
        <v>16000</v>
      </c>
      <c r="J16" s="326">
        <f>'stroški investicije'!I38</f>
        <v>7800</v>
      </c>
      <c r="K16" s="326">
        <f>'stroški investicije'!J38</f>
        <v>6250</v>
      </c>
      <c r="L16" s="326">
        <f>'stroški investicije'!K38</f>
        <v>8150</v>
      </c>
      <c r="M16" s="326">
        <f>'stroški investicije'!L38</f>
        <v>14100</v>
      </c>
      <c r="N16" s="326">
        <f>'stroški investicije'!M38</f>
        <v>24000</v>
      </c>
      <c r="O16" s="326">
        <f>'stroški investicije'!N38</f>
        <v>10900</v>
      </c>
    </row>
    <row r="17" spans="1:15" s="219" customFormat="1" ht="3" customHeight="1" x14ac:dyDescent="0.2">
      <c r="A17" s="225"/>
      <c r="B17" s="328"/>
      <c r="C17" s="329"/>
      <c r="D17" s="227"/>
      <c r="E17" s="330"/>
      <c r="F17" s="330"/>
      <c r="G17" s="330"/>
      <c r="H17" s="330"/>
      <c r="I17" s="330"/>
      <c r="J17" s="330"/>
      <c r="K17" s="330"/>
      <c r="L17" s="330"/>
      <c r="M17" s="331"/>
      <c r="N17" s="331"/>
      <c r="O17" s="331"/>
    </row>
    <row r="18" spans="1:15" s="219" customFormat="1" ht="3" customHeight="1" x14ac:dyDescent="0.2">
      <c r="A18" s="215"/>
      <c r="B18" s="216"/>
      <c r="C18" s="319"/>
      <c r="D18" s="217"/>
      <c r="E18" s="320"/>
      <c r="F18" s="320"/>
      <c r="G18" s="320"/>
      <c r="H18" s="320"/>
      <c r="I18" s="320"/>
      <c r="J18" s="320"/>
      <c r="K18" s="320"/>
      <c r="L18" s="320"/>
      <c r="M18" s="321"/>
      <c r="N18" s="321"/>
      <c r="O18" s="321"/>
    </row>
    <row r="19" spans="1:15" s="209" customFormat="1" ht="15" customHeight="1" x14ac:dyDescent="0.2">
      <c r="A19" s="332"/>
      <c r="B19" s="221" t="s">
        <v>158</v>
      </c>
      <c r="C19" s="333" t="str">
        <f>'stroški investicije'!C42</f>
        <v>[€]</v>
      </c>
      <c r="D19" s="222"/>
      <c r="E19" s="334" t="str">
        <f>'stroški investicije'!D42</f>
        <v>/</v>
      </c>
      <c r="F19" s="334">
        <f>'stroški investicije'!E42</f>
        <v>7650</v>
      </c>
      <c r="G19" s="334">
        <f>'stroški investicije'!F42</f>
        <v>7650</v>
      </c>
      <c r="H19" s="334">
        <f>'stroški investicije'!G42</f>
        <v>19200</v>
      </c>
      <c r="I19" s="334">
        <f>'stroški investicije'!H42</f>
        <v>12000</v>
      </c>
      <c r="J19" s="334">
        <f>'stroški investicije'!I42</f>
        <v>7800</v>
      </c>
      <c r="K19" s="334">
        <f>'stroški investicije'!J42</f>
        <v>6250</v>
      </c>
      <c r="L19" s="334">
        <f>'stroški investicije'!K42</f>
        <v>8150</v>
      </c>
      <c r="M19" s="334">
        <f>'stroški investicije'!L42</f>
        <v>11600</v>
      </c>
      <c r="N19" s="334">
        <f>'stroški investicije'!M42</f>
        <v>20000</v>
      </c>
      <c r="O19" s="334">
        <f>'stroški investicije'!N42</f>
        <v>6900</v>
      </c>
    </row>
    <row r="20" spans="1:15" s="219" customFormat="1" ht="3" customHeight="1" x14ac:dyDescent="0.2">
      <c r="A20" s="335"/>
      <c r="B20" s="249"/>
      <c r="C20" s="336"/>
      <c r="D20" s="337"/>
      <c r="E20" s="338"/>
      <c r="F20" s="338"/>
      <c r="G20" s="338"/>
      <c r="H20" s="338"/>
      <c r="I20" s="338"/>
      <c r="J20" s="338"/>
      <c r="K20" s="338"/>
      <c r="L20" s="338"/>
      <c r="M20" s="339"/>
      <c r="N20" s="339"/>
      <c r="O20" s="339"/>
    </row>
    <row r="21" spans="1:15" s="219" customFormat="1" ht="3" customHeight="1" x14ac:dyDescent="0.2">
      <c r="A21" s="229"/>
      <c r="B21" s="101"/>
      <c r="C21" s="340"/>
      <c r="D21" s="230"/>
      <c r="E21" s="105"/>
      <c r="F21" s="105"/>
      <c r="G21" s="105"/>
      <c r="H21" s="105"/>
      <c r="I21" s="105"/>
      <c r="J21" s="105"/>
      <c r="K21" s="105"/>
      <c r="L21" s="105"/>
      <c r="M21" s="341"/>
      <c r="N21" s="341"/>
      <c r="O21" s="341"/>
    </row>
    <row r="22" spans="1:15" s="219" customFormat="1" ht="15" customHeight="1" x14ac:dyDescent="0.2">
      <c r="A22" s="235"/>
      <c r="B22" s="106" t="s">
        <v>187</v>
      </c>
      <c r="C22" s="316" t="str">
        <f>'stroški investicije'!C46</f>
        <v>[€/a]</v>
      </c>
      <c r="D22" s="254"/>
      <c r="E22" s="99">
        <v>0</v>
      </c>
      <c r="F22" s="99">
        <f>'stroški investicije'!E46+'stroški investicije'!E47+'stroški investicije'!E48</f>
        <v>474.64283658264401</v>
      </c>
      <c r="G22" s="99">
        <f>'stroški investicije'!F46+'stroški investicije'!F47+'stroški investicije'!F48</f>
        <v>474.64283658264401</v>
      </c>
      <c r="H22" s="99">
        <f>'stroški investicije'!G46+'stroški investicije'!G47+'stroški investicije'!G48</f>
        <v>998.18161542400037</v>
      </c>
      <c r="I22" s="99">
        <f>'stroški investicije'!H46+'stroški investicije'!H47+'stroški investicije'!H48</f>
        <v>657.16602370901614</v>
      </c>
      <c r="J22" s="99">
        <f>'stroški investicije'!I46+'stroški investicije'!I47+'stroški investicije'!I48</f>
        <v>435.61524878601443</v>
      </c>
      <c r="K22" s="99">
        <f>'stroški investicije'!J46+'stroški investicije'!J47+'stroški investicije'!J48</f>
        <v>384.44696372186172</v>
      </c>
      <c r="L22" s="99">
        <f>'stroški investicije'!K46+'stroški investicije'!K47+'stroški investicije'!K48</f>
        <v>442.71042979417587</v>
      </c>
      <c r="M22" s="99">
        <f>'stroški investicije'!L46+'stroški investicije'!L47+'stroški investicije'!L48</f>
        <v>777.67107093474999</v>
      </c>
      <c r="N22" s="99">
        <f>'stroški investicije'!M46+'stroški investicije'!M47+'stroški investicije'!M48</f>
        <v>886.1168485165939</v>
      </c>
      <c r="O22" s="99">
        <f>'stroški investicije'!N46+'stroški investicije'!N47+'stroški investicije'!N48</f>
        <v>418.8293366772856</v>
      </c>
    </row>
    <row r="23" spans="1:15" s="219" customFormat="1" ht="3" customHeight="1" x14ac:dyDescent="0.2">
      <c r="A23" s="215"/>
      <c r="B23" s="216"/>
      <c r="C23" s="319"/>
      <c r="D23" s="217"/>
      <c r="E23" s="320"/>
      <c r="F23" s="320"/>
      <c r="G23" s="320"/>
      <c r="H23" s="320"/>
      <c r="I23" s="320"/>
      <c r="J23" s="320"/>
      <c r="K23" s="320"/>
      <c r="L23" s="320"/>
      <c r="M23" s="321"/>
      <c r="N23" s="321"/>
      <c r="O23" s="321"/>
    </row>
    <row r="24" spans="1:15" s="224" customFormat="1" ht="15" customHeight="1" x14ac:dyDescent="0.2">
      <c r="A24" s="220"/>
      <c r="B24" s="342" t="s">
        <v>159</v>
      </c>
      <c r="C24" s="343" t="s">
        <v>160</v>
      </c>
      <c r="D24" s="344"/>
      <c r="E24" s="345" t="str">
        <f>'stroški investicije'!D51</f>
        <v>/</v>
      </c>
      <c r="F24" s="345">
        <f>'stroški investicije'!E51</f>
        <v>474.64283658264401</v>
      </c>
      <c r="G24" s="345">
        <f>'stroški investicije'!F51</f>
        <v>474.64283658264401</v>
      </c>
      <c r="H24" s="345">
        <f>'stroški investicije'!G51</f>
        <v>998.18161542400037</v>
      </c>
      <c r="I24" s="345">
        <f>'stroški investicije'!H51</f>
        <v>657.16602370901614</v>
      </c>
      <c r="J24" s="345">
        <f>'stroški investicije'!I51</f>
        <v>435.61524878601443</v>
      </c>
      <c r="K24" s="345">
        <f>'stroški investicije'!J51</f>
        <v>384.44696372186172</v>
      </c>
      <c r="L24" s="345">
        <f>'stroški investicije'!K51</f>
        <v>442.71042979417587</v>
      </c>
      <c r="M24" s="345">
        <f>'stroški investicije'!L51</f>
        <v>777.67107093474999</v>
      </c>
      <c r="N24" s="345">
        <f>'stroški investicije'!M51</f>
        <v>886.1168485165939</v>
      </c>
      <c r="O24" s="345">
        <f>'stroški investicije'!N51</f>
        <v>418.8293366772856</v>
      </c>
    </row>
    <row r="25" spans="1:15" s="219" customFormat="1" ht="3" customHeight="1" x14ac:dyDescent="0.2">
      <c r="A25" s="335"/>
      <c r="B25" s="249"/>
      <c r="C25" s="336"/>
      <c r="D25" s="337"/>
      <c r="E25" s="338"/>
      <c r="F25" s="338"/>
      <c r="G25" s="338"/>
      <c r="H25" s="338"/>
      <c r="I25" s="338"/>
      <c r="J25" s="338"/>
      <c r="K25" s="338"/>
      <c r="L25" s="338"/>
      <c r="M25" s="339"/>
      <c r="N25" s="339"/>
      <c r="O25" s="339"/>
    </row>
    <row r="26" spans="1:15" s="219" customFormat="1" ht="3" customHeight="1" x14ac:dyDescent="0.2">
      <c r="A26" s="235"/>
      <c r="B26" s="253"/>
      <c r="C26" s="347"/>
      <c r="D26" s="236"/>
      <c r="E26" s="99"/>
      <c r="F26" s="99"/>
      <c r="G26" s="99"/>
      <c r="H26" s="99"/>
      <c r="I26" s="99"/>
      <c r="J26" s="99"/>
      <c r="K26" s="99"/>
      <c r="L26" s="99"/>
      <c r="M26" s="318"/>
      <c r="N26" s="318"/>
      <c r="O26" s="318"/>
    </row>
    <row r="27" spans="1:15" s="219" customFormat="1" ht="15" customHeight="1" x14ac:dyDescent="0.2">
      <c r="A27" s="235"/>
      <c r="B27" s="106" t="s">
        <v>163</v>
      </c>
      <c r="C27" s="316" t="str">
        <f>'stroški investicije'!C54</f>
        <v>[€/a]</v>
      </c>
      <c r="D27" s="254"/>
      <c r="E27" s="99">
        <f>'stroški investicije'!D54</f>
        <v>2508.8627397414384</v>
      </c>
      <c r="F27" s="99">
        <f>'stroški investicije'!E54</f>
        <v>711.69980050722461</v>
      </c>
      <c r="G27" s="99">
        <f>'stroški investicije'!F54</f>
        <v>694.10722116884381</v>
      </c>
      <c r="H27" s="99">
        <f>'stroški investicije'!G54</f>
        <v>564.01099902234375</v>
      </c>
      <c r="I27" s="99">
        <f>'stroški investicije'!H54</f>
        <v>1174.7962375986383</v>
      </c>
      <c r="J27" s="99">
        <f>'stroški investicije'!I54</f>
        <v>1951.3376864655629</v>
      </c>
      <c r="K27" s="99">
        <f>'stroški investicije'!J54</f>
        <v>2684.3594301214207</v>
      </c>
      <c r="L27" s="99">
        <f>'stroški investicije'!K54</f>
        <v>1365.30612244898</v>
      </c>
      <c r="M27" s="99">
        <f>'stroški investicije'!L54</f>
        <v>700</v>
      </c>
      <c r="N27" s="99">
        <f>'stroški investicije'!M54</f>
        <v>633.33333333333326</v>
      </c>
      <c r="O27" s="99">
        <f>'stroški investicije'!N54</f>
        <v>578.26086956521738</v>
      </c>
    </row>
    <row r="28" spans="1:15" s="106" customFormat="1" ht="15" customHeight="1" x14ac:dyDescent="0.2">
      <c r="A28" s="252"/>
      <c r="B28" s="106" t="s">
        <v>188</v>
      </c>
      <c r="C28" s="316" t="str">
        <f>'stroški investicije'!C55</f>
        <v>[€/a]</v>
      </c>
      <c r="D28" s="254"/>
      <c r="E28" s="99">
        <f>'stroški investicije'!D55</f>
        <v>21</v>
      </c>
      <c r="F28" s="99">
        <f>'stroški investicije'!E55</f>
        <v>15</v>
      </c>
      <c r="G28" s="99">
        <f>'stroški investicije'!F55</f>
        <v>15</v>
      </c>
      <c r="H28" s="99">
        <f>'stroški investicije'!G55</f>
        <v>30</v>
      </c>
      <c r="I28" s="99">
        <f>'stroški investicije'!H55</f>
        <v>27</v>
      </c>
      <c r="J28" s="99">
        <f>'stroški investicije'!I55</f>
        <v>21</v>
      </c>
      <c r="K28" s="99">
        <f>'stroški investicije'!J55</f>
        <v>21</v>
      </c>
      <c r="L28" s="99">
        <f>'stroški investicije'!K55</f>
        <v>21</v>
      </c>
      <c r="M28" s="99">
        <f>'stroški investicije'!L55</f>
        <v>15</v>
      </c>
      <c r="N28" s="99">
        <f>'stroški investicije'!M55</f>
        <v>39</v>
      </c>
      <c r="O28" s="99">
        <f>'stroški investicije'!N55</f>
        <v>48</v>
      </c>
    </row>
    <row r="29" spans="1:15" s="106" customFormat="1" ht="3" customHeight="1" x14ac:dyDescent="0.2">
      <c r="A29" s="247"/>
      <c r="B29" s="216"/>
      <c r="C29" s="319"/>
      <c r="D29" s="217"/>
      <c r="E29" s="320"/>
      <c r="F29" s="320"/>
      <c r="G29" s="320"/>
      <c r="H29" s="320"/>
      <c r="I29" s="320"/>
      <c r="J29" s="320"/>
      <c r="K29" s="320"/>
      <c r="L29" s="320"/>
      <c r="M29" s="321"/>
      <c r="N29" s="321"/>
      <c r="O29" s="321"/>
    </row>
    <row r="30" spans="1:15" s="224" customFormat="1" ht="15" customHeight="1" x14ac:dyDescent="0.2">
      <c r="A30" s="220"/>
      <c r="B30" s="342" t="s">
        <v>162</v>
      </c>
      <c r="C30" s="343" t="str">
        <f>'stroški investicije'!C57</f>
        <v>[€/a]</v>
      </c>
      <c r="D30" s="344"/>
      <c r="E30" s="345">
        <f>'stroški investicije'!D57</f>
        <v>2529.8627397414384</v>
      </c>
      <c r="F30" s="345">
        <f>'stroški investicije'!E57</f>
        <v>726.69980050722461</v>
      </c>
      <c r="G30" s="345">
        <f>'stroški investicije'!F57</f>
        <v>709.10722116884381</v>
      </c>
      <c r="H30" s="345">
        <f>'stroški investicije'!G57</f>
        <v>594.01099902234375</v>
      </c>
      <c r="I30" s="345">
        <f>'stroški investicije'!H57</f>
        <v>1201.7962375986383</v>
      </c>
      <c r="J30" s="345">
        <f>'stroški investicije'!I57</f>
        <v>1972.3376864655629</v>
      </c>
      <c r="K30" s="345">
        <f>'stroški investicije'!J57</f>
        <v>2705.3594301214207</v>
      </c>
      <c r="L30" s="345">
        <f>'stroški investicije'!K57</f>
        <v>1386.30612244898</v>
      </c>
      <c r="M30" s="345">
        <f>'stroški investicije'!L57</f>
        <v>715</v>
      </c>
      <c r="N30" s="345">
        <f>'stroški investicije'!M57</f>
        <v>672.33333333333326</v>
      </c>
      <c r="O30" s="345">
        <f>'stroški investicije'!N57</f>
        <v>626.26086956521738</v>
      </c>
    </row>
    <row r="31" spans="1:15" s="106" customFormat="1" ht="3" customHeight="1" x14ac:dyDescent="0.2">
      <c r="A31" s="248"/>
      <c r="B31" s="249"/>
      <c r="C31" s="348"/>
      <c r="D31" s="250"/>
      <c r="E31" s="338"/>
      <c r="F31" s="338"/>
      <c r="G31" s="338"/>
      <c r="H31" s="338"/>
      <c r="I31" s="338"/>
      <c r="J31" s="338"/>
      <c r="K31" s="338"/>
      <c r="L31" s="338"/>
      <c r="M31" s="339"/>
      <c r="N31" s="339"/>
      <c r="O31" s="339"/>
    </row>
    <row r="32" spans="1:15" s="106" customFormat="1" ht="3" customHeight="1" x14ac:dyDescent="0.2">
      <c r="A32" s="252"/>
      <c r="B32" s="253"/>
      <c r="C32" s="316"/>
      <c r="D32" s="254"/>
      <c r="E32" s="99"/>
      <c r="F32" s="99"/>
      <c r="G32" s="99"/>
      <c r="H32" s="99"/>
      <c r="I32" s="349"/>
      <c r="J32" s="99"/>
      <c r="K32" s="99"/>
      <c r="L32" s="99"/>
      <c r="M32" s="318"/>
      <c r="N32" s="318"/>
      <c r="O32" s="318"/>
    </row>
    <row r="33" spans="1:15" s="106" customFormat="1" ht="15" customHeight="1" x14ac:dyDescent="0.2">
      <c r="A33" s="252"/>
      <c r="B33" s="253" t="s">
        <v>189</v>
      </c>
      <c r="C33" s="316" t="s">
        <v>160</v>
      </c>
      <c r="D33" s="254"/>
      <c r="E33" s="99">
        <f>'stroški investicije'!D61+'stroški investicije'!D62+'stroški investicije'!D63</f>
        <v>55.5</v>
      </c>
      <c r="F33" s="99">
        <f>'stroški investicije'!E61+'stroški investicije'!E62+'stroški investicije'!E63</f>
        <v>58.25</v>
      </c>
      <c r="G33" s="99">
        <f>'stroški investicije'!F61+'stroški investicije'!F62+'stroški investicije'!F63</f>
        <v>74.150000000000006</v>
      </c>
      <c r="H33" s="99">
        <f>'stroški investicije'!G61+'stroški investicije'!G62+'stroški investicije'!G63</f>
        <v>184</v>
      </c>
      <c r="I33" s="349">
        <f>'stroški investicije'!H61+'stroški investicije'!H62+'stroški investicije'!H63</f>
        <v>133</v>
      </c>
      <c r="J33" s="99">
        <f>'stroški investicije'!I61+'stroški investicije'!I62+'stroški investicije'!I63</f>
        <v>66</v>
      </c>
      <c r="K33" s="99">
        <f>'stroški investicije'!J61+'stroški investicije'!J62+'stroški investicije'!J63</f>
        <v>57.75</v>
      </c>
      <c r="L33" s="99">
        <f>'stroški investicije'!K61+'stroški investicije'!K62+'stroški investicije'!K63</f>
        <v>67.25</v>
      </c>
      <c r="M33" s="99">
        <f>'stroški investicije'!L61+'stroški investicije'!L62+'stroški investicije'!L63</f>
        <v>141</v>
      </c>
      <c r="N33" s="99">
        <f>'stroški investicije'!M61+'stroški investicije'!M62+'stroški investicije'!M63</f>
        <v>165</v>
      </c>
      <c r="O33" s="99">
        <f>'stroški investicije'!N61+'stroški investicije'!N62+'stroški investicije'!N63</f>
        <v>99.5</v>
      </c>
    </row>
    <row r="34" spans="1:15" s="106" customFormat="1" ht="15" customHeight="1" x14ac:dyDescent="0.2">
      <c r="A34" s="252"/>
      <c r="B34" s="106" t="s">
        <v>170</v>
      </c>
      <c r="C34" s="316" t="str">
        <f>'stroški investicije'!C64</f>
        <v>[€/a]</v>
      </c>
      <c r="D34" s="254"/>
      <c r="E34" s="99">
        <f>'stroški investicije'!D64</f>
        <v>32</v>
      </c>
      <c r="F34" s="99">
        <f>'stroški investicije'!E64</f>
        <v>32</v>
      </c>
      <c r="G34" s="99">
        <f>'stroški investicije'!F64</f>
        <v>38</v>
      </c>
      <c r="H34" s="99">
        <f>'stroški investicije'!G64</f>
        <v>40</v>
      </c>
      <c r="I34" s="99">
        <f>'stroški investicije'!H64</f>
        <v>34</v>
      </c>
      <c r="J34" s="99">
        <f>'stroški investicije'!I64</f>
        <v>32</v>
      </c>
      <c r="K34" s="99">
        <f>'stroški investicije'!J64</f>
        <v>28</v>
      </c>
      <c r="L34" s="99">
        <f>'stroški investicije'!K64</f>
        <v>23.799999999999997</v>
      </c>
      <c r="M34" s="99">
        <f>'stroški investicije'!L64</f>
        <v>23.799999999999997</v>
      </c>
      <c r="N34" s="99">
        <f>'stroški investicije'!M64</f>
        <v>22.4</v>
      </c>
      <c r="O34" s="99">
        <f>'stroški investicije'!N64</f>
        <v>19.599999999999998</v>
      </c>
    </row>
    <row r="35" spans="1:15" s="106" customFormat="1" ht="15" customHeight="1" x14ac:dyDescent="0.2">
      <c r="A35" s="252"/>
      <c r="B35" s="106" t="s">
        <v>171</v>
      </c>
      <c r="C35" s="316" t="str">
        <f>'stroški investicije'!C65</f>
        <v>[€/a]</v>
      </c>
      <c r="D35" s="254"/>
      <c r="E35" s="99">
        <f>'stroški investicije'!D65</f>
        <v>20</v>
      </c>
      <c r="F35" s="99">
        <f>'stroški investicije'!E65</f>
        <v>20</v>
      </c>
      <c r="G35" s="99">
        <f>'stroški investicije'!F65</f>
        <v>20</v>
      </c>
      <c r="H35" s="99">
        <f>'stroški investicije'!G65</f>
        <v>20</v>
      </c>
      <c r="I35" s="99">
        <f>'stroški investicije'!H65</f>
        <v>20</v>
      </c>
      <c r="J35" s="99">
        <f>'stroški investicije'!I65</f>
        <v>20</v>
      </c>
      <c r="K35" s="99">
        <f>'stroški investicije'!J65</f>
        <v>20</v>
      </c>
      <c r="L35" s="99">
        <f>'stroški investicije'!K65</f>
        <v>20</v>
      </c>
      <c r="M35" s="99">
        <f>'stroški investicije'!L65</f>
        <v>0</v>
      </c>
      <c r="N35" s="99">
        <f>'stroški investicije'!M65</f>
        <v>0</v>
      </c>
      <c r="O35" s="99">
        <f>'stroški investicije'!N65</f>
        <v>0</v>
      </c>
    </row>
    <row r="36" spans="1:15" s="106" customFormat="1" ht="15" customHeight="1" x14ac:dyDescent="0.2">
      <c r="A36" s="252"/>
      <c r="B36" s="106" t="s">
        <v>172</v>
      </c>
      <c r="C36" s="316" t="str">
        <f>'stroški investicije'!C66</f>
        <v>[€/a]</v>
      </c>
      <c r="D36" s="254"/>
      <c r="E36" s="99">
        <f>'stroški investicije'!D66</f>
        <v>8</v>
      </c>
      <c r="F36" s="99">
        <f>'stroški investicije'!E66</f>
        <v>8</v>
      </c>
      <c r="G36" s="99">
        <f>'stroški investicije'!F66</f>
        <v>8</v>
      </c>
      <c r="H36" s="99">
        <f>'stroški investicije'!G66</f>
        <v>10</v>
      </c>
      <c r="I36" s="99">
        <f>'stroški investicije'!H66</f>
        <v>9</v>
      </c>
      <c r="J36" s="99">
        <f>'stroški investicije'!I66</f>
        <v>8</v>
      </c>
      <c r="K36" s="99">
        <f>'stroški investicije'!J66</f>
        <v>33</v>
      </c>
      <c r="L36" s="99">
        <f>'stroški investicije'!K66</f>
        <v>7.2</v>
      </c>
      <c r="M36" s="99">
        <f>'stroški investicije'!L66</f>
        <v>7.2</v>
      </c>
      <c r="N36" s="99">
        <f>'stroški investicije'!M66</f>
        <v>6.4</v>
      </c>
      <c r="O36" s="99">
        <f>'stroški investicije'!N66</f>
        <v>26.400000000000002</v>
      </c>
    </row>
    <row r="37" spans="1:15" s="106" customFormat="1" ht="15" customHeight="1" x14ac:dyDescent="0.2">
      <c r="A37" s="252"/>
      <c r="B37" s="106" t="s">
        <v>190</v>
      </c>
      <c r="C37" s="316" t="str">
        <f>'stroški investicije'!C72</f>
        <v>[€/a]</v>
      </c>
      <c r="D37" s="254"/>
      <c r="E37" s="99">
        <f>'stroški investicije'!D72</f>
        <v>16.2</v>
      </c>
      <c r="F37" s="99">
        <f>'stroški investicije'!E72</f>
        <v>20.100000000000001</v>
      </c>
      <c r="G37" s="99">
        <f>'stroški investicije'!F72</f>
        <v>20.100000000000001</v>
      </c>
      <c r="H37" s="99">
        <f>'stroški investicije'!G72</f>
        <v>27.2</v>
      </c>
      <c r="I37" s="99">
        <f>'stroški investicije'!H72</f>
        <v>21.2</v>
      </c>
      <c r="J37" s="99">
        <f>'stroški investicije'!I72</f>
        <v>16.2</v>
      </c>
      <c r="K37" s="99">
        <f>'stroški investicije'!J72</f>
        <v>15.9</v>
      </c>
      <c r="L37" s="99">
        <f>'stroški investicije'!K72</f>
        <v>15.9</v>
      </c>
      <c r="M37" s="99">
        <f>'stroški investicije'!L72</f>
        <v>42.300000000000004</v>
      </c>
      <c r="N37" s="99">
        <f>'stroški investicije'!M72</f>
        <v>27</v>
      </c>
      <c r="O37" s="99">
        <f>'stroški investicije'!N72</f>
        <v>27</v>
      </c>
    </row>
    <row r="38" spans="1:15" s="106" customFormat="1" ht="3" customHeight="1" x14ac:dyDescent="0.2">
      <c r="A38" s="247"/>
      <c r="B38" s="216"/>
      <c r="C38" s="319"/>
      <c r="D38" s="217"/>
      <c r="E38" s="320"/>
      <c r="F38" s="320"/>
      <c r="G38" s="320"/>
      <c r="H38" s="320"/>
      <c r="I38" s="320"/>
      <c r="J38" s="320"/>
      <c r="K38" s="320"/>
      <c r="L38" s="320"/>
      <c r="M38" s="321"/>
      <c r="N38" s="321"/>
      <c r="O38" s="321"/>
    </row>
    <row r="39" spans="1:15" s="224" customFormat="1" ht="15" customHeight="1" x14ac:dyDescent="0.2">
      <c r="A39" s="220"/>
      <c r="B39" s="342" t="s">
        <v>191</v>
      </c>
      <c r="C39" s="343" t="str">
        <f>'stroški investicije'!C74</f>
        <v>[€/a]</v>
      </c>
      <c r="D39" s="344"/>
      <c r="E39" s="345">
        <f>SUM(E33:E37)</f>
        <v>131.69999999999999</v>
      </c>
      <c r="F39" s="345">
        <f>SUM(F33:F37)</f>
        <v>138.35</v>
      </c>
      <c r="G39" s="345">
        <f>SUM(G33:G37)</f>
        <v>160.25</v>
      </c>
      <c r="H39" s="345">
        <f t="shared" ref="H39:L39" si="0">SUM(H33:H37)</f>
        <v>281.2</v>
      </c>
      <c r="I39" s="345">
        <f t="shared" si="0"/>
        <v>217.2</v>
      </c>
      <c r="J39" s="345">
        <f t="shared" si="0"/>
        <v>142.19999999999999</v>
      </c>
      <c r="K39" s="345">
        <f t="shared" si="0"/>
        <v>154.65</v>
      </c>
      <c r="L39" s="345">
        <f t="shared" si="0"/>
        <v>134.15</v>
      </c>
      <c r="M39" s="346">
        <f>SUM(M33:M37)</f>
        <v>214.3</v>
      </c>
      <c r="N39" s="346">
        <f>SUM(N33:N37)</f>
        <v>220.8</v>
      </c>
      <c r="O39" s="346">
        <f>SUM(O33:O37)</f>
        <v>172.5</v>
      </c>
    </row>
    <row r="40" spans="1:15" s="106" customFormat="1" ht="3" customHeight="1" x14ac:dyDescent="0.2">
      <c r="A40" s="248"/>
      <c r="B40" s="249"/>
      <c r="C40" s="348"/>
      <c r="D40" s="250"/>
      <c r="E40" s="338"/>
      <c r="F40" s="338"/>
      <c r="G40" s="338"/>
      <c r="H40" s="338"/>
      <c r="I40" s="338"/>
      <c r="J40" s="338"/>
      <c r="K40" s="338"/>
      <c r="L40" s="338"/>
      <c r="M40" s="339"/>
      <c r="N40" s="339"/>
      <c r="O40" s="339"/>
    </row>
    <row r="41" spans="1:15" s="106" customFormat="1" ht="3" customHeight="1" x14ac:dyDescent="0.2">
      <c r="A41" s="261"/>
      <c r="B41" s="262"/>
      <c r="C41" s="350"/>
      <c r="D41" s="263"/>
      <c r="E41" s="351"/>
      <c r="F41" s="351"/>
      <c r="G41" s="351"/>
      <c r="H41" s="351"/>
      <c r="I41" s="351"/>
      <c r="J41" s="351"/>
      <c r="K41" s="351"/>
      <c r="L41" s="351"/>
      <c r="M41" s="352"/>
      <c r="N41" s="352"/>
      <c r="O41" s="352"/>
    </row>
    <row r="42" spans="1:15" s="359" customFormat="1" ht="15" customHeight="1" x14ac:dyDescent="0.2">
      <c r="A42" s="353"/>
      <c r="B42" s="354" t="s">
        <v>192</v>
      </c>
      <c r="C42" s="355" t="str">
        <f>'stroški investicije'!C77</f>
        <v>[€/a]</v>
      </c>
      <c r="D42" s="356"/>
      <c r="E42" s="357">
        <f>'stroški investicije'!D77</f>
        <v>2661.5627397414382</v>
      </c>
      <c r="F42" s="357">
        <f>'stroški investicije'!E77</f>
        <v>1339.6926370898686</v>
      </c>
      <c r="G42" s="357">
        <f>'stroški investicije'!F77</f>
        <v>1344.0000577514879</v>
      </c>
      <c r="H42" s="357">
        <f>'stroški investicije'!G77</f>
        <v>1873.3926144463439</v>
      </c>
      <c r="I42" s="357">
        <f>'stroški investicije'!H77</f>
        <v>2076.1622613076543</v>
      </c>
      <c r="J42" s="357">
        <f>'stroški investicije'!I77</f>
        <v>2550.1529352515772</v>
      </c>
      <c r="K42" s="357">
        <f>'stroški investicije'!J77</f>
        <v>3244.4563938432825</v>
      </c>
      <c r="L42" s="357">
        <f>'stroški investicije'!K77</f>
        <v>1963.1665522431558</v>
      </c>
      <c r="M42" s="357">
        <f>'stroški investicije'!L77</f>
        <v>1706.9710709347501</v>
      </c>
      <c r="N42" s="357">
        <f>'stroški investicije'!M77</f>
        <v>1779.2501818499272</v>
      </c>
      <c r="O42" s="357">
        <f>'stroški investicije'!N77</f>
        <v>1217.590206242503</v>
      </c>
    </row>
    <row r="43" spans="1:15" s="106" customFormat="1" ht="3" customHeight="1" x14ac:dyDescent="0.2">
      <c r="A43" s="259"/>
      <c r="B43" s="241"/>
      <c r="C43" s="360"/>
      <c r="D43" s="260"/>
      <c r="E43" s="361"/>
      <c r="F43" s="361"/>
      <c r="G43" s="361"/>
      <c r="H43" s="361"/>
      <c r="I43" s="361"/>
      <c r="J43" s="361"/>
      <c r="K43" s="361"/>
      <c r="L43" s="361"/>
      <c r="M43" s="362"/>
      <c r="N43" s="362"/>
      <c r="O43" s="362"/>
    </row>
    <row r="44" spans="1:15" s="106" customFormat="1" ht="3" customHeight="1" x14ac:dyDescent="0.2">
      <c r="A44" s="247"/>
      <c r="B44" s="216"/>
      <c r="C44" s="319"/>
      <c r="D44" s="217"/>
      <c r="E44" s="363"/>
      <c r="F44" s="363"/>
      <c r="G44" s="363"/>
      <c r="H44" s="363"/>
      <c r="I44" s="363"/>
      <c r="J44" s="363"/>
      <c r="K44" s="363"/>
      <c r="L44" s="363"/>
      <c r="M44" s="364"/>
      <c r="N44" s="364"/>
      <c r="O44" s="364"/>
    </row>
    <row r="45" spans="1:15" s="359" customFormat="1" ht="15" customHeight="1" x14ac:dyDescent="0.2">
      <c r="A45" s="353"/>
      <c r="B45" s="354" t="s">
        <v>193</v>
      </c>
      <c r="C45" s="355" t="str">
        <f>'stroški investicije'!C80</f>
        <v>[€/MWh]</v>
      </c>
      <c r="D45" s="356"/>
      <c r="E45" s="365">
        <f>'stroški investicije'!D80</f>
        <v>133.0781369870719</v>
      </c>
      <c r="F45" s="365">
        <f>'stroški investicije'!E80</f>
        <v>66.984631854493429</v>
      </c>
      <c r="G45" s="365">
        <f>'stroški investicije'!F80</f>
        <v>67.200002887574399</v>
      </c>
      <c r="H45" s="365">
        <f>'stroški investicije'!G80</f>
        <v>93.669630722317194</v>
      </c>
      <c r="I45" s="365">
        <f>'stroški investicije'!H80</f>
        <v>103.80811306538271</v>
      </c>
      <c r="J45" s="365">
        <f>'stroški investicije'!I80</f>
        <v>127.50764676257886</v>
      </c>
      <c r="K45" s="365">
        <f>'stroški investicije'!J80</f>
        <v>162.22281969216414</v>
      </c>
      <c r="L45" s="365">
        <f>'stroški investicije'!K80</f>
        <v>98.158327612157791</v>
      </c>
      <c r="M45" s="365">
        <f>'stroški investicije'!L80</f>
        <v>85.348553546737506</v>
      </c>
      <c r="N45" s="365">
        <f>'stroški investicije'!M80</f>
        <v>88.962509092496362</v>
      </c>
      <c r="O45" s="365">
        <f>'stroški investicije'!N80</f>
        <v>60.879510312125142</v>
      </c>
    </row>
    <row r="46" spans="1:15" s="106" customFormat="1" ht="3" customHeight="1" x14ac:dyDescent="0.2">
      <c r="A46" s="248"/>
      <c r="B46" s="249"/>
      <c r="C46" s="366"/>
      <c r="D46" s="271"/>
      <c r="E46" s="367"/>
      <c r="F46" s="367"/>
      <c r="G46" s="367"/>
      <c r="H46" s="367"/>
      <c r="I46" s="368"/>
      <c r="J46" s="369"/>
      <c r="K46" s="369"/>
      <c r="L46" s="369"/>
      <c r="M46" s="370"/>
      <c r="N46" s="370"/>
      <c r="O46" s="370"/>
    </row>
    <row r="47" spans="1:15" ht="9.75" customHeight="1" x14ac:dyDescent="0.2">
      <c r="B47" s="371"/>
      <c r="C47" s="350"/>
      <c r="D47" s="372"/>
      <c r="E47" s="373"/>
      <c r="F47" s="373"/>
      <c r="G47" s="373"/>
      <c r="H47" s="373"/>
      <c r="I47" s="373"/>
      <c r="J47" s="373"/>
      <c r="K47" s="373"/>
      <c r="L47" s="373"/>
      <c r="M47" s="374"/>
      <c r="N47" s="374"/>
      <c r="O47" s="374"/>
    </row>
    <row r="48" spans="1:15" s="10" customFormat="1" ht="10.5" customHeight="1" x14ac:dyDescent="0.25">
      <c r="B48" s="358" t="s">
        <v>194</v>
      </c>
      <c r="C48" s="355" t="str">
        <f>C42</f>
        <v>[€/a]</v>
      </c>
      <c r="D48" s="375"/>
      <c r="E48" s="376">
        <f>'stroški investicije'!D57+'stroški investicije'!D68+'stroški investicije'!D74</f>
        <v>2661.5627397414382</v>
      </c>
      <c r="F48" s="376">
        <f>'stroški investicije'!E57+'stroški investicije'!E68+'stroški investicije'!E74</f>
        <v>865.04980050722463</v>
      </c>
      <c r="G48" s="376">
        <f>'stroški investicije'!F57+'stroški investicije'!F68+'stroški investicije'!F74</f>
        <v>869.35722116884381</v>
      </c>
      <c r="H48" s="376">
        <f>'stroški investicije'!G57+'stroški investicije'!G68+'stroški investicije'!G74</f>
        <v>875.2109990223438</v>
      </c>
      <c r="I48" s="376">
        <f>'stroški investicije'!H57+'stroški investicije'!H68+'stroški investicije'!H74</f>
        <v>1418.9962375986383</v>
      </c>
      <c r="J48" s="377">
        <f>'stroški investicije'!I57+'stroški investicije'!I68+'stroški investicije'!I74</f>
        <v>2114.5376864655627</v>
      </c>
      <c r="K48" s="377">
        <f>'stroški investicije'!J57+'stroški investicije'!J68+'stroški investicije'!J74</f>
        <v>2860.0094301214208</v>
      </c>
      <c r="L48" s="377">
        <f>'stroški investicije'!K57+'stroški investicije'!K68+'stroški investicije'!K74</f>
        <v>1520.4561224489801</v>
      </c>
      <c r="M48" s="377">
        <f>'stroški investicije'!L57+'stroški investicije'!L68+'stroški investicije'!L74</f>
        <v>929.3</v>
      </c>
      <c r="N48" s="377">
        <f>'stroški investicije'!M57+'stroški investicije'!M68+'stroški investicije'!M74</f>
        <v>893.13333333333321</v>
      </c>
      <c r="O48" s="377">
        <f>'stroški investicije'!N57+'stroški investicije'!N68+'stroški investicije'!N74</f>
        <v>798.76086956521738</v>
      </c>
    </row>
    <row r="49" spans="2:15" s="10" customFormat="1" ht="10.5" customHeight="1" x14ac:dyDescent="0.25">
      <c r="B49" s="378"/>
      <c r="C49" s="360"/>
      <c r="D49" s="379"/>
      <c r="E49" s="380"/>
      <c r="F49" s="380"/>
      <c r="G49" s="380"/>
      <c r="H49" s="380"/>
      <c r="I49" s="380"/>
      <c r="J49" s="380"/>
      <c r="K49" s="380"/>
      <c r="L49" s="380"/>
      <c r="M49" s="381"/>
      <c r="N49" s="381"/>
      <c r="O49" s="381"/>
    </row>
    <row r="50" spans="2:15" x14ac:dyDescent="0.2">
      <c r="B50" s="382"/>
      <c r="C50" s="319"/>
      <c r="D50" s="383"/>
      <c r="E50" s="384"/>
      <c r="F50" s="384"/>
      <c r="G50" s="384"/>
      <c r="H50" s="384"/>
      <c r="I50" s="384"/>
      <c r="J50" s="384"/>
      <c r="K50" s="384"/>
      <c r="L50" s="384"/>
      <c r="M50" s="385"/>
      <c r="N50" s="385"/>
      <c r="O50" s="385"/>
    </row>
    <row r="51" spans="2:15" ht="15.75" x14ac:dyDescent="0.2">
      <c r="B51" s="358" t="s">
        <v>195</v>
      </c>
      <c r="C51" s="355" t="str">
        <f>C45</f>
        <v>[€/MWh]</v>
      </c>
      <c r="D51" s="375"/>
      <c r="E51" s="386">
        <f>1000*E48/$C$6</f>
        <v>133.0781369870719</v>
      </c>
      <c r="F51" s="386">
        <f>1000*F48/$C$6</f>
        <v>43.252490025361233</v>
      </c>
      <c r="G51" s="386">
        <f>1000*G48/$C$6</f>
        <v>43.467861058442189</v>
      </c>
      <c r="H51" s="386">
        <f>1000*H48/$C$6</f>
        <v>43.760549951117191</v>
      </c>
      <c r="I51" s="386">
        <f>1000*I48/$C$6</f>
        <v>70.949811879931914</v>
      </c>
      <c r="J51" s="386">
        <f t="shared" ref="J51:O51" si="1">1000*J48/$C$6</f>
        <v>105.72688432327814</v>
      </c>
      <c r="K51" s="386">
        <f t="shared" si="1"/>
        <v>143.00047150607105</v>
      </c>
      <c r="L51" s="386">
        <f t="shared" si="1"/>
        <v>76.022806122449012</v>
      </c>
      <c r="M51" s="386">
        <f t="shared" si="1"/>
        <v>46.465000000000003</v>
      </c>
      <c r="N51" s="386">
        <f t="shared" si="1"/>
        <v>44.656666666666666</v>
      </c>
      <c r="O51" s="386">
        <f t="shared" si="1"/>
        <v>39.938043478260873</v>
      </c>
    </row>
    <row r="52" spans="2:15" x14ac:dyDescent="0.2">
      <c r="B52" s="249"/>
      <c r="C52" s="366"/>
      <c r="D52" s="271"/>
      <c r="E52" s="367"/>
      <c r="F52" s="367"/>
      <c r="G52" s="367"/>
      <c r="H52" s="367"/>
      <c r="I52" s="368"/>
      <c r="J52" s="369"/>
      <c r="K52" s="369"/>
      <c r="L52" s="369"/>
      <c r="M52" s="370"/>
      <c r="N52" s="370"/>
      <c r="O52" s="370"/>
    </row>
    <row r="53" spans="2:15" x14ac:dyDescent="0.2">
      <c r="B53" s="371"/>
      <c r="C53" s="350"/>
      <c r="D53" s="372"/>
      <c r="E53" s="373"/>
      <c r="F53" s="373"/>
      <c r="G53" s="373"/>
      <c r="H53" s="373"/>
      <c r="I53" s="373"/>
      <c r="J53" s="373"/>
      <c r="K53" s="373"/>
      <c r="L53" s="373"/>
      <c r="M53" s="374"/>
      <c r="N53" s="374"/>
      <c r="O53" s="374"/>
    </row>
    <row r="54" spans="2:15" ht="15.75" x14ac:dyDescent="0.2">
      <c r="B54" s="358" t="s">
        <v>196</v>
      </c>
      <c r="C54" s="355" t="str">
        <f>C48</f>
        <v>[€/a]</v>
      </c>
      <c r="D54" s="375"/>
      <c r="E54" s="376">
        <f>E42-E42</f>
        <v>0</v>
      </c>
      <c r="F54" s="376">
        <f>$E$42-F42</f>
        <v>1321.8701026515696</v>
      </c>
      <c r="G54" s="376">
        <f>$E$42-G42</f>
        <v>1317.5626819899503</v>
      </c>
      <c r="H54" s="376">
        <f t="shared" ref="H54:J54" si="2">$E$42-H42</f>
        <v>788.17012529509429</v>
      </c>
      <c r="I54" s="376">
        <f t="shared" si="2"/>
        <v>585.40047843378397</v>
      </c>
      <c r="J54" s="376">
        <f t="shared" si="2"/>
        <v>111.40980448986102</v>
      </c>
      <c r="K54" s="376">
        <f>$E$42-K42</f>
        <v>-582.89365410184428</v>
      </c>
      <c r="L54" s="376">
        <f>$E$42-L42</f>
        <v>698.39618749828242</v>
      </c>
      <c r="M54" s="376">
        <f>$E$42-M42</f>
        <v>954.59166880668818</v>
      </c>
      <c r="N54" s="376">
        <f>$E$42-N42</f>
        <v>882.31255789151101</v>
      </c>
      <c r="O54" s="376">
        <f>$E$42-O42</f>
        <v>1443.9725334989353</v>
      </c>
    </row>
    <row r="55" spans="2:15" x14ac:dyDescent="0.2">
      <c r="B55" s="378"/>
      <c r="C55" s="360"/>
      <c r="D55" s="379"/>
      <c r="E55" s="380"/>
      <c r="F55" s="380"/>
      <c r="G55" s="380"/>
      <c r="H55" s="380"/>
      <c r="I55" s="380"/>
      <c r="J55" s="380"/>
      <c r="K55" s="380"/>
      <c r="L55" s="380"/>
      <c r="M55" s="381"/>
      <c r="N55" s="381"/>
      <c r="O55" s="381"/>
    </row>
    <row r="56" spans="2:15" x14ac:dyDescent="0.2">
      <c r="B56" s="382"/>
      <c r="C56" s="319"/>
      <c r="D56" s="383"/>
      <c r="E56" s="384"/>
      <c r="F56" s="384"/>
      <c r="G56" s="384"/>
      <c r="H56" s="384"/>
      <c r="I56" s="384"/>
      <c r="J56" s="384"/>
      <c r="K56" s="384"/>
      <c r="L56" s="384"/>
      <c r="M56" s="385"/>
      <c r="N56" s="385"/>
      <c r="O56" s="385"/>
    </row>
    <row r="57" spans="2:15" ht="15.75" x14ac:dyDescent="0.2">
      <c r="B57" s="358" t="s">
        <v>197</v>
      </c>
      <c r="C57" s="355" t="s">
        <v>198</v>
      </c>
      <c r="D57" s="375"/>
      <c r="E57" s="386"/>
      <c r="F57" s="386">
        <f>F19/F54</f>
        <v>5.7872554834659544</v>
      </c>
      <c r="G57" s="386">
        <f>G19/G54</f>
        <v>5.8061753756155268</v>
      </c>
      <c r="H57" s="386">
        <f t="shared" ref="H57:K57" si="3">H19/H54</f>
        <v>24.36022298207692</v>
      </c>
      <c r="I57" s="386">
        <f t="shared" si="3"/>
        <v>20.498787483238022</v>
      </c>
      <c r="J57" s="386">
        <f t="shared" si="3"/>
        <v>70.01179147307316</v>
      </c>
      <c r="K57" s="386">
        <f t="shared" si="3"/>
        <v>-10.722367546838978</v>
      </c>
      <c r="L57" s="386">
        <f>L19/L54</f>
        <v>11.669594058343916</v>
      </c>
      <c r="M57" s="386">
        <f>M19/M54</f>
        <v>12.151792624066035</v>
      </c>
      <c r="N57" s="386">
        <f>N19/N54</f>
        <v>22.667704115868649</v>
      </c>
      <c r="O57" s="386">
        <f>O19/O54</f>
        <v>4.7784842439353001</v>
      </c>
    </row>
    <row r="58" spans="2:15" x14ac:dyDescent="0.2">
      <c r="B58" s="249"/>
      <c r="C58" s="366"/>
      <c r="D58" s="271"/>
      <c r="E58" s="367"/>
      <c r="F58" s="367"/>
      <c r="G58" s="367"/>
      <c r="H58" s="367"/>
      <c r="I58" s="368"/>
      <c r="J58" s="369"/>
      <c r="K58" s="369"/>
      <c r="L58" s="369"/>
      <c r="M58" s="370"/>
      <c r="N58" s="370"/>
      <c r="O58" s="370"/>
    </row>
  </sheetData>
  <printOptions horizontalCentered="1" verticalCentered="1"/>
  <pageMargins left="0.78740157480314965" right="0.78740157480314965" top="0.98425196850393704" bottom="0.98425196850393704" header="0.51181102362204722" footer="0.51181102362204722"/>
  <pageSetup scale="61" orientation="landscape" r:id="rId1"/>
  <headerFooter alignWithMargins="0"/>
  <rowBreaks count="1" manualBreakCount="1">
    <brk id="54"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showGridLines="0" view="pageBreakPreview" topLeftCell="A7" zoomScale="85" zoomScaleNormal="100" zoomScaleSheetLayoutView="85" workbookViewId="0">
      <selection activeCell="I55" sqref="I55"/>
    </sheetView>
  </sheetViews>
  <sheetFormatPr defaultColWidth="11.42578125" defaultRowHeight="12.75" x14ac:dyDescent="0.2"/>
  <cols>
    <col min="1" max="1" width="32.42578125" style="273" customWidth="1"/>
    <col min="2" max="2" width="5.7109375" style="392" customWidth="1"/>
    <col min="3" max="3" width="11.42578125" style="273" customWidth="1"/>
    <col min="4" max="4" width="14.7109375" style="273" customWidth="1"/>
    <col min="5" max="5" width="14.28515625" style="273" bestFit="1" customWidth="1"/>
    <col min="6" max="7" width="11.7109375" style="273" customWidth="1"/>
    <col min="8" max="8" width="11.5703125" style="273" customWidth="1"/>
    <col min="9" max="9" width="15.85546875" style="273" customWidth="1"/>
    <col min="10" max="10" width="12.85546875" style="273" customWidth="1"/>
    <col min="11" max="11" width="15.140625" style="273" customWidth="1"/>
    <col min="12" max="12" width="11.7109375" style="398" customWidth="1"/>
    <col min="13" max="14" width="13.140625" style="398" customWidth="1"/>
    <col min="15" max="16384" width="11.42578125" style="273"/>
  </cols>
  <sheetData>
    <row r="1" spans="1:14" s="11" customFormat="1" ht="18.75" x14ac:dyDescent="0.3">
      <c r="B1" s="17"/>
      <c r="L1" s="387"/>
      <c r="M1" s="387"/>
      <c r="N1" s="387"/>
    </row>
    <row r="2" spans="1:14" s="389" customFormat="1" ht="18" customHeight="1" x14ac:dyDescent="0.25">
      <c r="A2" s="388" t="s">
        <v>199</v>
      </c>
      <c r="L2" s="390"/>
      <c r="M2" s="390"/>
      <c r="N2" s="390"/>
    </row>
    <row r="3" spans="1:14" s="11" customFormat="1" ht="12.6" customHeight="1" x14ac:dyDescent="0.25">
      <c r="A3" s="391" t="s">
        <v>200</v>
      </c>
      <c r="B3" s="392"/>
      <c r="I3" s="393"/>
      <c r="L3" s="394"/>
      <c r="M3" s="394"/>
      <c r="N3" s="394"/>
    </row>
    <row r="4" spans="1:14" s="11" customFormat="1" ht="23.1" customHeight="1" x14ac:dyDescent="0.25">
      <c r="A4" s="391"/>
      <c r="B4" s="392"/>
      <c r="I4" s="393"/>
      <c r="L4" s="394"/>
      <c r="M4" s="394"/>
      <c r="N4" s="394"/>
    </row>
    <row r="5" spans="1:14" s="181" customFormat="1" ht="38.25" x14ac:dyDescent="0.2">
      <c r="B5" s="291" t="s">
        <v>133</v>
      </c>
      <c r="C5" s="291"/>
      <c r="D5" s="291"/>
      <c r="E5" s="395" t="s">
        <v>201</v>
      </c>
      <c r="F5" s="291"/>
      <c r="G5" s="395" t="s">
        <v>181</v>
      </c>
      <c r="H5" s="291"/>
      <c r="I5" s="396"/>
      <c r="L5" s="327"/>
      <c r="M5" s="327"/>
      <c r="N5" s="327"/>
    </row>
    <row r="6" spans="1:14" s="64" customFormat="1" ht="12" x14ac:dyDescent="0.2">
      <c r="B6" s="397" t="s">
        <v>135</v>
      </c>
      <c r="C6" s="397"/>
      <c r="D6" s="397"/>
      <c r="E6" s="397" t="s">
        <v>136</v>
      </c>
      <c r="F6" s="397"/>
      <c r="G6" s="397" t="s">
        <v>137</v>
      </c>
      <c r="H6" s="397"/>
      <c r="I6" s="317"/>
      <c r="L6" s="398"/>
      <c r="M6" s="398"/>
      <c r="N6" s="398"/>
    </row>
    <row r="7" spans="1:14" s="181" customFormat="1" x14ac:dyDescent="0.2">
      <c r="B7" s="399">
        <f>'stroški investicije'!C18</f>
        <v>20</v>
      </c>
      <c r="C7" s="291"/>
      <c r="D7" s="291"/>
      <c r="E7" s="400">
        <f>'stroški investicije'!G18</f>
        <v>1000</v>
      </c>
      <c r="F7" s="291"/>
      <c r="G7" s="400">
        <f>B7*Nutzenergie</f>
        <v>20000</v>
      </c>
      <c r="H7" s="291"/>
      <c r="I7" s="401"/>
      <c r="J7" s="402"/>
      <c r="L7" s="327"/>
      <c r="M7" s="327"/>
      <c r="N7" s="327"/>
    </row>
    <row r="8" spans="1:14" ht="8.25" customHeight="1" thickBot="1" x14ac:dyDescent="0.25">
      <c r="A8" s="181"/>
      <c r="C8" s="403"/>
      <c r="D8" s="403"/>
      <c r="E8" s="404"/>
      <c r="F8" s="405"/>
      <c r="G8" s="406"/>
      <c r="H8" s="406"/>
      <c r="I8" s="407"/>
      <c r="J8" s="408"/>
      <c r="K8" s="403"/>
    </row>
    <row r="9" spans="1:14" s="414" customFormat="1" ht="37.5" customHeight="1" x14ac:dyDescent="0.25">
      <c r="A9" s="409"/>
      <c r="B9" s="410"/>
      <c r="C9" s="411"/>
      <c r="D9" s="412" t="s">
        <v>202</v>
      </c>
      <c r="E9" s="413" t="str">
        <f>+'vhodni podatki'!E63</f>
        <v>Polena (bukev)</v>
      </c>
      <c r="F9" s="413" t="str">
        <f>+'vhodni podatki'!F63</f>
        <v>Polena (iglavci)</v>
      </c>
      <c r="G9" s="413" t="str">
        <f>+'vhodni podatki'!G63</f>
        <v>Sekanci</v>
      </c>
      <c r="H9" s="413" t="str">
        <f>+'vhodni podatki'!H63</f>
        <v>Peleti</v>
      </c>
      <c r="I9" s="413" t="str">
        <f>+'vhodni podatki'!I63</f>
        <v>ELKO</v>
      </c>
      <c r="J9" s="413" t="str">
        <f>+'vhodni podatki'!J63</f>
        <v>UNP</v>
      </c>
      <c r="K9" s="413" t="str">
        <f>+'vhodni podatki'!K63</f>
        <v>ZP</v>
      </c>
      <c r="L9" s="413" t="str">
        <f>+'vhodni podatki'!L63</f>
        <v>TČ zrak/voda</v>
      </c>
      <c r="M9" s="413" t="str">
        <f>+'vhodni podatki'!M63</f>
        <v>TČ zemlja/voda</v>
      </c>
      <c r="N9" s="413" t="str">
        <f>+'vhodni podatki'!N63</f>
        <v>TČ voda/voda</v>
      </c>
    </row>
    <row r="10" spans="1:14" s="182" customFormat="1" ht="12.75" customHeight="1" x14ac:dyDescent="0.2">
      <c r="B10" s="415"/>
      <c r="D10" s="416"/>
      <c r="E10" s="417"/>
      <c r="F10" s="417"/>
      <c r="G10" s="418"/>
      <c r="H10" s="419"/>
      <c r="I10" s="419"/>
      <c r="J10" s="419"/>
      <c r="K10" s="419"/>
      <c r="L10" s="420"/>
      <c r="M10" s="420"/>
      <c r="N10" s="420"/>
    </row>
    <row r="11" spans="1:14" s="64" customFormat="1" ht="12" x14ac:dyDescent="0.2">
      <c r="A11" s="421"/>
      <c r="B11" s="422"/>
      <c r="C11" s="423"/>
      <c r="D11" s="424" t="s">
        <v>140</v>
      </c>
      <c r="E11" s="425" t="s">
        <v>139</v>
      </c>
      <c r="F11" s="425" t="s">
        <v>139</v>
      </c>
      <c r="G11" s="426" t="s">
        <v>139</v>
      </c>
      <c r="H11" s="427" t="s">
        <v>139</v>
      </c>
      <c r="I11" s="427" t="s">
        <v>140</v>
      </c>
      <c r="J11" s="427" t="s">
        <v>141</v>
      </c>
      <c r="K11" s="427" t="s">
        <v>143</v>
      </c>
      <c r="L11" s="427" t="s">
        <v>143</v>
      </c>
      <c r="M11" s="427" t="s">
        <v>143</v>
      </c>
      <c r="N11" s="427" t="s">
        <v>143</v>
      </c>
    </row>
    <row r="12" spans="1:14" s="437" customFormat="1" ht="15.75" x14ac:dyDescent="0.25">
      <c r="A12" s="428" t="s">
        <v>144</v>
      </c>
      <c r="B12" s="429"/>
      <c r="C12" s="430"/>
      <c r="D12" s="431">
        <f>I12</f>
        <v>0.88</v>
      </c>
      <c r="E12" s="432">
        <f>'vhodni podatki'!C42</f>
        <v>0.13</v>
      </c>
      <c r="F12" s="432">
        <f>'vhodni podatki'!D42</f>
        <v>0.124</v>
      </c>
      <c r="G12" s="433">
        <f>'stroški investicije'!G24</f>
        <v>9.4444444444444442E-2</v>
      </c>
      <c r="H12" s="434">
        <f>'stroški investicije'!H24</f>
        <v>0.255</v>
      </c>
      <c r="I12" s="435">
        <f>'stroški investicije'!I24</f>
        <v>0.88</v>
      </c>
      <c r="J12" s="435">
        <f>'stroški investicije'!J24</f>
        <v>3.39</v>
      </c>
      <c r="K12" s="435">
        <f>+'stroški investicije'!K24</f>
        <v>6.6900000000000001E-2</v>
      </c>
      <c r="L12" s="436">
        <f>'stroški investicije'!L24</f>
        <v>133</v>
      </c>
      <c r="M12" s="436">
        <f>'stroški investicije'!M24</f>
        <v>133</v>
      </c>
      <c r="N12" s="436">
        <f>'stroški investicije'!N24</f>
        <v>133</v>
      </c>
    </row>
    <row r="13" spans="1:14" s="100" customFormat="1" x14ac:dyDescent="0.2">
      <c r="B13" s="438" t="s">
        <v>203</v>
      </c>
      <c r="C13" s="439"/>
      <c r="D13" s="440"/>
      <c r="E13" s="441">
        <f>E44*E12</f>
        <v>47.45</v>
      </c>
      <c r="F13" s="441">
        <f>F44*F12</f>
        <v>31</v>
      </c>
      <c r="G13" s="442">
        <f>G44*G12</f>
        <v>17</v>
      </c>
      <c r="H13" s="443">
        <f>H44*H12</f>
        <v>166.30434782608697</v>
      </c>
      <c r="I13" s="341"/>
      <c r="J13" s="444"/>
      <c r="K13" s="444"/>
      <c r="L13" s="445"/>
      <c r="M13" s="445"/>
      <c r="N13" s="445"/>
    </row>
    <row r="14" spans="1:14" ht="1.5" customHeight="1" x14ac:dyDescent="0.2">
      <c r="B14" s="64"/>
      <c r="D14" s="446"/>
      <c r="E14" s="447"/>
      <c r="F14" s="447"/>
      <c r="G14" s="448"/>
      <c r="H14" s="448"/>
      <c r="I14" s="449"/>
      <c r="J14" s="449"/>
      <c r="K14" s="449"/>
      <c r="L14" s="450"/>
      <c r="M14" s="450"/>
      <c r="N14" s="450"/>
    </row>
    <row r="15" spans="1:14" s="437" customFormat="1" ht="6" hidden="1" customHeight="1" x14ac:dyDescent="0.2">
      <c r="B15" s="64"/>
      <c r="D15" s="451"/>
      <c r="E15" s="452"/>
      <c r="F15" s="452"/>
      <c r="G15" s="453"/>
      <c r="H15" s="453"/>
      <c r="I15" s="454"/>
      <c r="J15" s="454"/>
      <c r="K15" s="454"/>
      <c r="L15" s="455"/>
      <c r="M15" s="455"/>
      <c r="N15" s="455"/>
    </row>
    <row r="16" spans="1:14" s="437" customFormat="1" ht="15.75" x14ac:dyDescent="0.25">
      <c r="A16" s="456" t="s">
        <v>204</v>
      </c>
      <c r="B16" s="457" t="s">
        <v>205</v>
      </c>
      <c r="C16" s="456"/>
      <c r="D16" s="458">
        <f t="shared" ref="D16:K16" si="0">D38*D26/1000</f>
        <v>2508.8627397414384</v>
      </c>
      <c r="E16" s="459">
        <f t="shared" si="0"/>
        <v>711.69980050722461</v>
      </c>
      <c r="F16" s="459">
        <f t="shared" si="0"/>
        <v>694.10722116884381</v>
      </c>
      <c r="G16" s="460">
        <f t="shared" si="0"/>
        <v>564.01099902234375</v>
      </c>
      <c r="H16" s="461">
        <f t="shared" si="0"/>
        <v>1174.7962375986383</v>
      </c>
      <c r="I16" s="462">
        <f t="shared" si="0"/>
        <v>1951.3376864655629</v>
      </c>
      <c r="J16" s="462">
        <f t="shared" si="0"/>
        <v>2684.3594301214207</v>
      </c>
      <c r="K16" s="462">
        <f t="shared" si="0"/>
        <v>1365.30612244898</v>
      </c>
      <c r="L16" s="463">
        <f>L60*L26/1000</f>
        <v>700</v>
      </c>
      <c r="M16" s="463">
        <f>M60*M26/1000</f>
        <v>633.33333333333326</v>
      </c>
      <c r="N16" s="463">
        <f>N60*N26/1000</f>
        <v>578.26086956521738</v>
      </c>
    </row>
    <row r="17" spans="1:14" ht="4.9000000000000004" customHeight="1" x14ac:dyDescent="0.2">
      <c r="B17" s="64"/>
      <c r="D17" s="446"/>
      <c r="E17" s="447"/>
      <c r="F17" s="447"/>
      <c r="G17" s="448"/>
      <c r="H17" s="448"/>
      <c r="I17" s="449"/>
      <c r="J17" s="449"/>
      <c r="K17" s="449"/>
      <c r="L17" s="450"/>
      <c r="M17" s="450"/>
      <c r="N17" s="450"/>
    </row>
    <row r="18" spans="1:14" ht="13.9" customHeight="1" x14ac:dyDescent="0.2">
      <c r="A18" s="715" t="str">
        <f>+'vhodni podatki'!B43</f>
        <v>Cena brez dajatev</v>
      </c>
      <c r="B18" s="716"/>
      <c r="C18" s="715"/>
      <c r="D18" s="722">
        <f>+$D$30*1000*'vhodni podatki'!G43</f>
        <v>1423.2136150905565</v>
      </c>
      <c r="E18" s="722">
        <f>+E$32*'vhodni podatki'!C43</f>
        <v>583.36049221903659</v>
      </c>
      <c r="F18" s="722">
        <f>+F$32*'vhodni podatki'!D43</f>
        <v>568.94034522036372</v>
      </c>
      <c r="G18" s="722">
        <f>+G$32*'vhodni podatki'!E43</f>
        <v>462.3040975592981</v>
      </c>
      <c r="H18" s="722">
        <f>+H$32*'vhodni podatki'!F43</f>
        <v>962.94773573658858</v>
      </c>
      <c r="I18" s="722">
        <f>+I$30*1000*'vhodni podatki'!G43</f>
        <v>1106.9439228482106</v>
      </c>
      <c r="J18" s="722">
        <f>+J$30*'vhodni podatki'!H43</f>
        <v>2083.4180803740005</v>
      </c>
      <c r="K18" s="722">
        <f>+K$38*'vhodni podatki'!I43</f>
        <v>983.38909334225502</v>
      </c>
      <c r="L18" s="722">
        <f>+L$60/1000*'vhodni podatki'!J43</f>
        <v>544.45470232959462</v>
      </c>
      <c r="M18" s="722">
        <f>+M$60/1000*'vhodni podatki'!K43</f>
        <v>492.60187353629982</v>
      </c>
      <c r="N18" s="722">
        <f>+N$60/1000*'vhodni podatki'!L43</f>
        <v>449.76692801140427</v>
      </c>
    </row>
    <row r="19" spans="1:14" ht="13.9" customHeight="1" x14ac:dyDescent="0.2">
      <c r="A19" s="715" t="str">
        <f>+'vhodni podatki'!B44</f>
        <v>DDV</v>
      </c>
      <c r="B19" s="64"/>
      <c r="D19" s="722">
        <f>+$D$30*1000*'vhodni podatki'!G44</f>
        <v>452.41787110091519</v>
      </c>
      <c r="E19" s="722">
        <f>+$E$32*'vhodni podatki'!C44</f>
        <v>128.33930828818805</v>
      </c>
      <c r="F19" s="722">
        <f>+F$32*'vhodni podatki'!D44</f>
        <v>125.16687594848001</v>
      </c>
      <c r="G19" s="722">
        <f>+G$32*'vhodni podatki'!E44</f>
        <v>101.70690146304558</v>
      </c>
      <c r="H19" s="722">
        <f>+H$32*'vhodni podatki'!F44</f>
        <v>211.84850186204949</v>
      </c>
      <c r="I19" s="722">
        <f>+I$30*1000*'vhodni podatki'!G44</f>
        <v>351.88056641182294</v>
      </c>
      <c r="J19" s="722">
        <f>+J$30*'vhodni podatki'!H44</f>
        <v>484.0648152677972</v>
      </c>
      <c r="K19" s="722">
        <f>+K$38*'vhodni podatki'!I44</f>
        <v>246.20274339243898</v>
      </c>
      <c r="L19" s="722">
        <f>+L$60/1000*'vhodni podatki'!J44</f>
        <v>126.22950819672133</v>
      </c>
      <c r="M19" s="722">
        <f>+M$60/1000*'vhodni podatki'!K44</f>
        <v>114.20765027322405</v>
      </c>
      <c r="N19" s="722">
        <f>+N$60/1000*'vhodni podatki'!L44</f>
        <v>104.27655024946546</v>
      </c>
    </row>
    <row r="20" spans="1:14" ht="13.9" customHeight="1" x14ac:dyDescent="0.2">
      <c r="A20" s="715" t="str">
        <f>+'vhodni podatki'!B45</f>
        <v>Dajatev CO2</v>
      </c>
      <c r="B20" s="716"/>
      <c r="C20" s="715"/>
      <c r="D20" s="722">
        <f>+$D$30*1000*'vhodni podatki'!G45</f>
        <v>133.16929383332115</v>
      </c>
      <c r="E20" s="722">
        <f>+$E$32*'vhodni podatki'!C45</f>
        <v>0</v>
      </c>
      <c r="F20" s="722">
        <f>+F$32*'vhodni podatki'!D45</f>
        <v>0</v>
      </c>
      <c r="G20" s="722">
        <f>+G$32*'vhodni podatki'!E45</f>
        <v>0</v>
      </c>
      <c r="H20" s="722">
        <f>+H$32*'vhodni podatki'!F45</f>
        <v>0</v>
      </c>
      <c r="I20" s="722">
        <f>+I$30*1000*'vhodni podatki'!G45</f>
        <v>103.57611742591644</v>
      </c>
      <c r="J20" s="722">
        <f>+J$30*'vhodni podatki'!H45</f>
        <v>80.214044327817092</v>
      </c>
      <c r="K20" s="722">
        <f>+K$38*'vhodni podatki'!I45</f>
        <v>64.285714285714292</v>
      </c>
      <c r="L20" s="722">
        <f>+L$60/1000*'vhodni podatki'!J45</f>
        <v>0</v>
      </c>
      <c r="M20" s="722">
        <f>+M$60/1000*'vhodni podatki'!K45</f>
        <v>0</v>
      </c>
      <c r="N20" s="722">
        <f>+N$60/1000*'vhodni podatki'!L45</f>
        <v>0</v>
      </c>
    </row>
    <row r="21" spans="1:14" ht="13.9" customHeight="1" x14ac:dyDescent="0.2">
      <c r="A21" s="715" t="str">
        <f>+'vhodni podatki'!B46</f>
        <v>Prispevek za energetsko učinkovitost</v>
      </c>
      <c r="B21" s="64"/>
      <c r="D21" s="722">
        <f>+$D$30*1000*'vhodni podatki'!G46</f>
        <v>22.807843088558535</v>
      </c>
      <c r="E21" s="722">
        <f>+$E$32*'vhodni podatki'!C46</f>
        <v>0</v>
      </c>
      <c r="F21" s="722">
        <f>+F$32*'vhodni podatki'!D46</f>
        <v>0</v>
      </c>
      <c r="G21" s="722">
        <f>+G$32*'vhodni podatki'!E46</f>
        <v>0</v>
      </c>
      <c r="H21" s="722">
        <f>+H$32*'vhodni podatki'!F46</f>
        <v>0</v>
      </c>
      <c r="I21" s="722">
        <f>+I$30*1000*'vhodni podatki'!G46</f>
        <v>17.739433513323302</v>
      </c>
      <c r="J21" s="722">
        <f>+J$30*'vhodni podatki'!H46</f>
        <v>16.391221298971509</v>
      </c>
      <c r="K21" s="722">
        <f>+K$38*'vhodni podatki'!I46</f>
        <v>16.326530612244902</v>
      </c>
      <c r="L21" s="722">
        <f>+L$60/1000*'vhodni podatki'!J46</f>
        <v>4.2105263157894743</v>
      </c>
      <c r="M21" s="722">
        <f>+M$60/1000*'vhodni podatki'!K46</f>
        <v>3.8095238095238098</v>
      </c>
      <c r="N21" s="722">
        <f>+N$60/1000*'vhodni podatki'!L46</f>
        <v>3.4782608695652182</v>
      </c>
    </row>
    <row r="22" spans="1:14" ht="13.9" customHeight="1" x14ac:dyDescent="0.2">
      <c r="A22" s="715" t="str">
        <f>+'vhodni podatki'!B47</f>
        <v>Prispevek OVE in SPTE</v>
      </c>
      <c r="B22" s="716"/>
      <c r="C22" s="715"/>
      <c r="D22" s="722">
        <f>+$D$30*1000*'vhodni podatki'!G47</f>
        <v>28.224705822091188</v>
      </c>
      <c r="E22" s="722">
        <f>+$E$32*'vhodni podatki'!C47</f>
        <v>0</v>
      </c>
      <c r="F22" s="722">
        <f>+F$32*'vhodni podatki'!D47</f>
        <v>0</v>
      </c>
      <c r="G22" s="722">
        <f>+G$32*'vhodni podatki'!E47</f>
        <v>0</v>
      </c>
      <c r="H22" s="722">
        <f>+H$32*'vhodni podatki'!F47</f>
        <v>0</v>
      </c>
      <c r="I22" s="722">
        <f>+I$30*1000*'vhodni podatki'!G47</f>
        <v>21.952548972737588</v>
      </c>
      <c r="J22" s="722">
        <f>+J$30*'vhodni podatki'!H47</f>
        <v>20.271268852834329</v>
      </c>
      <c r="K22" s="722">
        <f>+K$38*'vhodni podatki'!I47</f>
        <v>20.204081632653065</v>
      </c>
      <c r="L22" s="722">
        <f>+L$60/1000*'vhodni podatki'!J47</f>
        <v>8.3684210526315805</v>
      </c>
      <c r="M22" s="722">
        <f>+M$60/1000*'vhodni podatki'!K47</f>
        <v>7.571428571428573</v>
      </c>
      <c r="N22" s="722">
        <f>+N$60/1000*'vhodni podatki'!L47</f>
        <v>6.9130434782608718</v>
      </c>
    </row>
    <row r="23" spans="1:14" ht="13.9" customHeight="1" x14ac:dyDescent="0.2">
      <c r="A23" s="715" t="str">
        <f>+'vhodni podatki'!B48</f>
        <v>Prispevek za delovanje op. trga</v>
      </c>
      <c r="B23" s="716"/>
      <c r="C23" s="715"/>
      <c r="D23" s="722">
        <f>+$D$30*1000*'vhodni podatki'!G48</f>
        <v>0</v>
      </c>
      <c r="E23" s="722">
        <f>+$E$32*'vhodni podatki'!C48</f>
        <v>0</v>
      </c>
      <c r="F23" s="722">
        <f>+F$32*'vhodni podatki'!D48</f>
        <v>0</v>
      </c>
      <c r="G23" s="722">
        <f>+G$32*'vhodni podatki'!E48</f>
        <v>0</v>
      </c>
      <c r="H23" s="722">
        <f>+H$32*'vhodni podatki'!F48</f>
        <v>0</v>
      </c>
      <c r="I23" s="722">
        <f>+I$30*1000*'vhodni podatki'!G48</f>
        <v>0</v>
      </c>
      <c r="J23" s="722">
        <f>+J$30*'vhodni podatki'!H48</f>
        <v>0</v>
      </c>
      <c r="K23" s="722">
        <f>+K$38*'vhodni podatki'!I48</f>
        <v>0</v>
      </c>
      <c r="L23" s="722">
        <f>+L$60/1000*'vhodni podatki'!J48</f>
        <v>0.68421052631578938</v>
      </c>
      <c r="M23" s="722">
        <f>+M$60/1000*'vhodni podatki'!K48</f>
        <v>0.61904761904761896</v>
      </c>
      <c r="N23" s="722">
        <f>+N$60/1000*'vhodni podatki'!L48</f>
        <v>0.56521739130434778</v>
      </c>
    </row>
    <row r="24" spans="1:14" ht="13.9" customHeight="1" x14ac:dyDescent="0.2">
      <c r="A24" s="715" t="str">
        <f>+'vhodni podatki'!B49</f>
        <v>Trošarina</v>
      </c>
      <c r="B24" s="716"/>
      <c r="C24" s="715"/>
      <c r="D24" s="722">
        <f>+$D$30*1000*'vhodni podatki'!G49</f>
        <v>449.02941080599612</v>
      </c>
      <c r="E24" s="722">
        <f>+$E$32*'vhodni podatki'!C49</f>
        <v>0</v>
      </c>
      <c r="F24" s="722">
        <f>+F$32*'vhodni podatki'!D49</f>
        <v>0</v>
      </c>
      <c r="G24" s="722">
        <f>+G$32*'vhodni podatki'!E49</f>
        <v>0</v>
      </c>
      <c r="H24" s="722">
        <f>+H$32*'vhodni podatki'!F49</f>
        <v>0</v>
      </c>
      <c r="I24" s="722">
        <f>+I$30*1000*'vhodni podatki'!G49</f>
        <v>349.24509729355253</v>
      </c>
      <c r="J24" s="722">
        <f>+J$30*'vhodni podatki'!H49</f>
        <v>0</v>
      </c>
      <c r="K24" s="722">
        <f>+K$38*'vhodni podatki'!I49</f>
        <v>34.897959183673471</v>
      </c>
      <c r="L24" s="722">
        <f>+L$60/1000*'vhodni podatki'!J49</f>
        <v>16.05263157894737</v>
      </c>
      <c r="M24" s="722">
        <f>+M$60/1000*'vhodni podatki'!K49</f>
        <v>14.523809523809526</v>
      </c>
      <c r="N24" s="722">
        <f>+N$60/1000*'vhodni podatki'!L49</f>
        <v>13.260869565217394</v>
      </c>
    </row>
    <row r="25" spans="1:14" ht="13.9" customHeight="1" x14ac:dyDescent="0.2">
      <c r="A25" s="715"/>
      <c r="B25" s="716"/>
      <c r="C25" s="715"/>
      <c r="D25" s="717"/>
      <c r="E25" s="718"/>
      <c r="F25" s="718"/>
      <c r="G25" s="719"/>
      <c r="H25" s="719"/>
      <c r="I25" s="720"/>
      <c r="J25" s="720"/>
      <c r="K25" s="720"/>
      <c r="L25" s="721"/>
      <c r="M25" s="721"/>
      <c r="N25" s="721"/>
    </row>
    <row r="26" spans="1:14" s="106" customFormat="1" x14ac:dyDescent="0.2">
      <c r="A26" s="464" t="s">
        <v>206</v>
      </c>
      <c r="B26" s="465" t="s">
        <v>87</v>
      </c>
      <c r="C26" s="464"/>
      <c r="D26" s="466">
        <f>D12/D53*1000000</f>
        <v>87.81019589095034</v>
      </c>
      <c r="E26" s="467">
        <f>E12/E51*1000</f>
        <v>32.382340923078722</v>
      </c>
      <c r="F26" s="467">
        <f>F12/F51*1000</f>
        <v>30.887771342013547</v>
      </c>
      <c r="G26" s="468">
        <f>G12/G51*1000</f>
        <v>25.380494956005471</v>
      </c>
      <c r="H26" s="469">
        <f>H12/H51*1000</f>
        <v>54.04062692953736</v>
      </c>
      <c r="I26" s="470">
        <f>I12/I53*1000000</f>
        <v>87.81019589095034</v>
      </c>
      <c r="J26" s="470">
        <f>J12/J53*1000</f>
        <v>131.53361207594961</v>
      </c>
      <c r="K26" s="470">
        <f>K12*1000</f>
        <v>66.900000000000006</v>
      </c>
      <c r="L26" s="471">
        <f>'vhodni podatki'!J42</f>
        <v>133</v>
      </c>
      <c r="M26" s="471">
        <f>'vhodni podatki'!K42</f>
        <v>133</v>
      </c>
      <c r="N26" s="471">
        <f>'vhodni podatki'!L42</f>
        <v>133</v>
      </c>
    </row>
    <row r="27" spans="1:14" s="95" customFormat="1" ht="6" customHeight="1" x14ac:dyDescent="0.2">
      <c r="B27" s="472"/>
      <c r="D27" s="473"/>
      <c r="E27" s="474"/>
      <c r="F27" s="474"/>
      <c r="G27" s="475"/>
      <c r="H27" s="475"/>
      <c r="I27" s="476"/>
      <c r="J27" s="476"/>
      <c r="K27" s="476"/>
      <c r="L27" s="445"/>
      <c r="M27" s="445"/>
      <c r="N27" s="445"/>
    </row>
    <row r="28" spans="1:14" s="106" customFormat="1" x14ac:dyDescent="0.2">
      <c r="A28" s="181" t="s">
        <v>207</v>
      </c>
      <c r="B28" s="19" t="s">
        <v>208</v>
      </c>
      <c r="C28" s="181"/>
      <c r="D28" s="466">
        <f t="shared" ref="D28:J28" si="1">D26/3.6</f>
        <v>24.391721080819536</v>
      </c>
      <c r="E28" s="467">
        <f t="shared" si="1"/>
        <v>8.9950947008551996</v>
      </c>
      <c r="F28" s="467">
        <f t="shared" si="1"/>
        <v>8.5799364838926522</v>
      </c>
      <c r="G28" s="468">
        <f t="shared" si="1"/>
        <v>7.0501374877792973</v>
      </c>
      <c r="H28" s="469">
        <f t="shared" si="1"/>
        <v>15.011285258204822</v>
      </c>
      <c r="I28" s="470">
        <f t="shared" si="1"/>
        <v>24.391721080819536</v>
      </c>
      <c r="J28" s="470">
        <f t="shared" si="1"/>
        <v>36.537114465541556</v>
      </c>
      <c r="K28" s="470">
        <f>K26/3.6</f>
        <v>18.583333333333336</v>
      </c>
      <c r="L28" s="471">
        <f>L26/3.6</f>
        <v>36.944444444444443</v>
      </c>
      <c r="M28" s="471">
        <f>M26/3.6</f>
        <v>36.944444444444443</v>
      </c>
      <c r="N28" s="471">
        <f>N26/3.6</f>
        <v>36.944444444444443</v>
      </c>
    </row>
    <row r="29" spans="1:14" s="106" customFormat="1" ht="6" customHeight="1" x14ac:dyDescent="0.2">
      <c r="B29" s="477"/>
      <c r="C29" s="181"/>
      <c r="D29" s="478"/>
      <c r="E29" s="479"/>
      <c r="F29" s="479"/>
      <c r="G29" s="480"/>
      <c r="H29" s="480"/>
      <c r="I29" s="481"/>
      <c r="J29" s="481"/>
      <c r="K29" s="481"/>
      <c r="L29" s="482"/>
      <c r="M29" s="482"/>
      <c r="N29" s="482"/>
    </row>
    <row r="30" spans="1:14" s="100" customFormat="1" ht="15.75" customHeight="1" x14ac:dyDescent="0.2">
      <c r="A30" s="464" t="s">
        <v>209</v>
      </c>
      <c r="B30" s="483" t="s">
        <v>210</v>
      </c>
      <c r="C30" s="484"/>
      <c r="D30" s="485">
        <f>D38/D53</f>
        <v>2.8509803860698164</v>
      </c>
      <c r="E30" s="486">
        <f t="shared" ref="E30:J30" si="2">E38/E53</f>
        <v>14.998942054946777</v>
      </c>
      <c r="F30" s="486">
        <f t="shared" si="2"/>
        <v>22.390555521575603</v>
      </c>
      <c r="G30" s="487">
        <f t="shared" si="2"/>
        <v>33.177117589549631</v>
      </c>
      <c r="H30" s="488">
        <f t="shared" si="2"/>
        <v>7.0641342391552095</v>
      </c>
      <c r="I30" s="489">
        <f t="shared" si="2"/>
        <v>2.2174291891654128</v>
      </c>
      <c r="J30" s="489">
        <f t="shared" si="2"/>
        <v>791.84643956384093</v>
      </c>
      <c r="K30" s="489">
        <f>K38/K53</f>
        <v>1950.135046851995</v>
      </c>
      <c r="L30" s="445"/>
      <c r="M30" s="445"/>
      <c r="N30" s="445"/>
    </row>
    <row r="31" spans="1:14" s="100" customFormat="1" ht="6" customHeight="1" x14ac:dyDescent="0.2">
      <c r="A31" s="402"/>
      <c r="B31" s="490"/>
      <c r="C31" s="491"/>
      <c r="D31" s="492"/>
      <c r="E31" s="493"/>
      <c r="F31" s="493"/>
      <c r="G31" s="494"/>
      <c r="H31" s="494"/>
      <c r="I31" s="495"/>
      <c r="J31" s="495"/>
      <c r="K31" s="495"/>
      <c r="L31" s="445"/>
      <c r="M31" s="445"/>
      <c r="N31" s="445"/>
    </row>
    <row r="32" spans="1:14" s="106" customFormat="1" x14ac:dyDescent="0.2">
      <c r="A32" s="402"/>
      <c r="B32" s="496" t="s">
        <v>211</v>
      </c>
      <c r="C32" s="253"/>
      <c r="D32" s="492">
        <f t="shared" ref="D32:K32" si="3">D30*D44</f>
        <v>2409.0784262289949</v>
      </c>
      <c r="E32" s="493">
        <f t="shared" si="3"/>
        <v>5474.6138500555735</v>
      </c>
      <c r="F32" s="493">
        <f t="shared" si="3"/>
        <v>5597.6388803939008</v>
      </c>
      <c r="G32" s="497">
        <f t="shared" si="3"/>
        <v>5971.8811661189338</v>
      </c>
      <c r="H32" s="498">
        <f t="shared" si="3"/>
        <v>4607.0440690142668</v>
      </c>
      <c r="I32" s="499">
        <f t="shared" si="3"/>
        <v>1873.7276648447737</v>
      </c>
      <c r="J32" s="499">
        <f t="shared" si="3"/>
        <v>1584.4847255672455</v>
      </c>
      <c r="K32" s="499">
        <f t="shared" si="3"/>
        <v>1365.0945327963964</v>
      </c>
      <c r="L32" s="445"/>
      <c r="M32" s="445"/>
      <c r="N32" s="445"/>
    </row>
    <row r="33" spans="1:14" s="100" customFormat="1" ht="6" customHeight="1" x14ac:dyDescent="0.2">
      <c r="A33" s="402"/>
      <c r="B33" s="490"/>
      <c r="C33" s="491"/>
      <c r="D33" s="492"/>
      <c r="E33" s="493"/>
      <c r="F33" s="493"/>
      <c r="G33" s="494"/>
      <c r="H33" s="494"/>
      <c r="I33" s="495"/>
      <c r="J33" s="495"/>
      <c r="K33" s="495"/>
      <c r="L33" s="445"/>
      <c r="M33" s="445"/>
      <c r="N33" s="445"/>
    </row>
    <row r="34" spans="1:14" s="106" customFormat="1" ht="15" x14ac:dyDescent="0.25">
      <c r="A34" s="789"/>
      <c r="B34" s="496" t="s">
        <v>364</v>
      </c>
      <c r="C34" s="253"/>
      <c r="D34" s="492"/>
      <c r="E34" s="493"/>
      <c r="F34" s="493"/>
      <c r="G34" s="497"/>
      <c r="H34" s="498"/>
      <c r="I34" s="499"/>
      <c r="J34" s="499">
        <f>J32/0.52</f>
        <v>3047.0860107062413</v>
      </c>
      <c r="K34" s="499"/>
      <c r="L34" s="445"/>
      <c r="M34" s="445"/>
      <c r="N34" s="445"/>
    </row>
    <row r="35" spans="1:14" s="182" customFormat="1" ht="6" customHeight="1" x14ac:dyDescent="0.2">
      <c r="B35" s="500"/>
      <c r="D35" s="501"/>
      <c r="E35" s="502"/>
      <c r="F35" s="502"/>
      <c r="G35" s="418"/>
      <c r="H35" s="419"/>
      <c r="I35" s="419"/>
      <c r="J35" s="419"/>
      <c r="K35" s="419"/>
      <c r="L35" s="503"/>
      <c r="M35" s="503"/>
      <c r="N35" s="503"/>
    </row>
    <row r="36" spans="1:14" s="508" customFormat="1" x14ac:dyDescent="0.2">
      <c r="A36" s="464" t="s">
        <v>212</v>
      </c>
      <c r="B36" s="421" t="s">
        <v>213</v>
      </c>
      <c r="C36" s="101"/>
      <c r="D36" s="504">
        <v>70</v>
      </c>
      <c r="E36" s="504">
        <v>91</v>
      </c>
      <c r="F36" s="504">
        <v>89</v>
      </c>
      <c r="G36" s="505">
        <v>90</v>
      </c>
      <c r="H36" s="506">
        <v>92</v>
      </c>
      <c r="I36" s="507">
        <v>90</v>
      </c>
      <c r="J36" s="507">
        <v>98</v>
      </c>
      <c r="K36" s="507">
        <v>98</v>
      </c>
      <c r="L36" s="503"/>
      <c r="M36" s="503"/>
      <c r="N36" s="503"/>
    </row>
    <row r="37" spans="1:14" s="253" customFormat="1" x14ac:dyDescent="0.2">
      <c r="A37" s="509" t="s">
        <v>132</v>
      </c>
      <c r="B37" s="496" t="s">
        <v>214</v>
      </c>
      <c r="C37" s="509"/>
      <c r="D37" s="510">
        <f t="shared" ref="D37:J37" si="4">$G$7</f>
        <v>20000</v>
      </c>
      <c r="E37" s="515">
        <f t="shared" si="4"/>
        <v>20000</v>
      </c>
      <c r="F37" s="515">
        <f t="shared" si="4"/>
        <v>20000</v>
      </c>
      <c r="G37" s="511">
        <f t="shared" si="4"/>
        <v>20000</v>
      </c>
      <c r="H37" s="512">
        <f t="shared" si="4"/>
        <v>20000</v>
      </c>
      <c r="I37" s="513">
        <f t="shared" si="4"/>
        <v>20000</v>
      </c>
      <c r="J37" s="513">
        <f t="shared" si="4"/>
        <v>20000</v>
      </c>
      <c r="K37" s="513">
        <f>$G$7</f>
        <v>20000</v>
      </c>
      <c r="L37" s="482"/>
      <c r="M37" s="482"/>
      <c r="N37" s="482"/>
    </row>
    <row r="38" spans="1:14" s="520" customFormat="1" ht="12" x14ac:dyDescent="0.2">
      <c r="A38" s="509" t="s">
        <v>181</v>
      </c>
      <c r="B38" s="496" t="s">
        <v>214</v>
      </c>
      <c r="C38" s="509"/>
      <c r="D38" s="514">
        <f t="shared" ref="D38:J38" si="5">D37/(D36/100)</f>
        <v>28571.428571428572</v>
      </c>
      <c r="E38" s="515">
        <f t="shared" si="5"/>
        <v>21978.021978021978</v>
      </c>
      <c r="F38" s="515">
        <f t="shared" si="5"/>
        <v>22471.91011235955</v>
      </c>
      <c r="G38" s="516">
        <f t="shared" si="5"/>
        <v>22222.222222222223</v>
      </c>
      <c r="H38" s="517">
        <f t="shared" si="5"/>
        <v>21739.130434782608</v>
      </c>
      <c r="I38" s="518">
        <f t="shared" si="5"/>
        <v>22222.222222222223</v>
      </c>
      <c r="J38" s="518">
        <f t="shared" si="5"/>
        <v>20408.163265306124</v>
      </c>
      <c r="K38" s="518">
        <f>K37/(K36/100)</f>
        <v>20408.163265306124</v>
      </c>
      <c r="L38" s="519"/>
      <c r="M38" s="519"/>
      <c r="N38" s="519"/>
    </row>
    <row r="39" spans="1:14" s="182" customFormat="1" ht="6" customHeight="1" x14ac:dyDescent="0.2">
      <c r="A39" s="106"/>
      <c r="B39" s="64"/>
      <c r="C39" s="106"/>
      <c r="D39" s="521"/>
      <c r="E39" s="522"/>
      <c r="F39" s="522"/>
      <c r="G39" s="523"/>
      <c r="H39" s="523"/>
      <c r="I39" s="524"/>
      <c r="J39" s="524"/>
      <c r="K39" s="524"/>
      <c r="L39" s="420"/>
      <c r="M39" s="420"/>
      <c r="N39" s="420"/>
    </row>
    <row r="40" spans="1:14" s="106" customFormat="1" x14ac:dyDescent="0.2">
      <c r="A40" s="464" t="s">
        <v>215</v>
      </c>
      <c r="B40" s="421" t="s">
        <v>216</v>
      </c>
      <c r="C40" s="101"/>
      <c r="D40" s="525">
        <v>0</v>
      </c>
      <c r="E40" s="526">
        <v>20</v>
      </c>
      <c r="F40" s="526">
        <v>20</v>
      </c>
      <c r="G40" s="527">
        <v>25</v>
      </c>
      <c r="H40" s="528">
        <v>8</v>
      </c>
      <c r="I40" s="529">
        <v>0</v>
      </c>
      <c r="J40" s="529">
        <v>0</v>
      </c>
      <c r="K40" s="529">
        <v>0</v>
      </c>
      <c r="L40" s="482"/>
      <c r="M40" s="482"/>
      <c r="N40" s="482"/>
    </row>
    <row r="41" spans="1:14" s="392" customFormat="1" ht="12" x14ac:dyDescent="0.2">
      <c r="A41" s="392" t="s">
        <v>217</v>
      </c>
      <c r="B41" s="64" t="s">
        <v>218</v>
      </c>
      <c r="D41" s="530">
        <v>13.4</v>
      </c>
      <c r="E41" s="531">
        <v>6</v>
      </c>
      <c r="F41" s="531">
        <v>6</v>
      </c>
      <c r="G41" s="532">
        <v>6</v>
      </c>
      <c r="H41" s="533">
        <v>6</v>
      </c>
      <c r="I41" s="534">
        <v>13.4</v>
      </c>
      <c r="J41" s="534"/>
      <c r="K41" s="534"/>
      <c r="L41" s="535"/>
      <c r="M41" s="535"/>
      <c r="N41" s="535"/>
    </row>
    <row r="42" spans="1:14" s="536" customFormat="1" ht="6" customHeight="1" x14ac:dyDescent="0.2">
      <c r="B42" s="537"/>
      <c r="D42" s="473"/>
      <c r="E42" s="474"/>
      <c r="F42" s="474"/>
      <c r="G42" s="475"/>
      <c r="H42" s="475"/>
      <c r="I42" s="538"/>
      <c r="J42" s="538"/>
      <c r="K42" s="538"/>
      <c r="L42" s="539"/>
      <c r="M42" s="539"/>
      <c r="N42" s="539"/>
    </row>
    <row r="43" spans="1:14" s="106" customFormat="1" x14ac:dyDescent="0.2">
      <c r="A43" s="464" t="s">
        <v>219</v>
      </c>
      <c r="B43" s="421" t="s">
        <v>220</v>
      </c>
      <c r="C43" s="101"/>
      <c r="D43" s="540">
        <v>845</v>
      </c>
      <c r="E43" s="541">
        <v>292</v>
      </c>
      <c r="F43" s="541">
        <v>200</v>
      </c>
      <c r="G43" s="542">
        <v>135</v>
      </c>
      <c r="H43" s="543">
        <v>600</v>
      </c>
      <c r="I43" s="544">
        <v>845</v>
      </c>
      <c r="J43" s="545">
        <v>2.0009999999999999</v>
      </c>
      <c r="K43" s="545">
        <v>0.7</v>
      </c>
      <c r="L43" s="482"/>
      <c r="M43" s="482"/>
      <c r="N43" s="482"/>
    </row>
    <row r="44" spans="1:14" s="392" customFormat="1" ht="12" x14ac:dyDescent="0.2">
      <c r="A44" s="392" t="s">
        <v>221</v>
      </c>
      <c r="B44" s="64" t="s">
        <v>220</v>
      </c>
      <c r="D44" s="546">
        <f t="shared" ref="D44:K44" si="6">D43/((100-D$40)/100)</f>
        <v>845</v>
      </c>
      <c r="E44" s="547">
        <f t="shared" si="6"/>
        <v>365</v>
      </c>
      <c r="F44" s="547">
        <f t="shared" si="6"/>
        <v>250</v>
      </c>
      <c r="G44" s="548">
        <f t="shared" si="6"/>
        <v>180</v>
      </c>
      <c r="H44" s="549">
        <f t="shared" si="6"/>
        <v>652.17391304347825</v>
      </c>
      <c r="I44" s="550">
        <f t="shared" si="6"/>
        <v>845</v>
      </c>
      <c r="J44" s="551">
        <f t="shared" si="6"/>
        <v>2.0009999999999999</v>
      </c>
      <c r="K44" s="551">
        <f t="shared" si="6"/>
        <v>0.7</v>
      </c>
      <c r="L44" s="535"/>
      <c r="M44" s="535"/>
      <c r="N44" s="535"/>
    </row>
    <row r="45" spans="1:14" s="392" customFormat="1" ht="12" x14ac:dyDescent="0.2">
      <c r="A45" s="392" t="s">
        <v>222</v>
      </c>
      <c r="B45" s="64" t="s">
        <v>223</v>
      </c>
      <c r="D45" s="552">
        <f t="shared" ref="D45:J45" si="7">1000/D44</f>
        <v>1.1834319526627219</v>
      </c>
      <c r="E45" s="553">
        <f t="shared" si="7"/>
        <v>2.7397260273972601</v>
      </c>
      <c r="F45" s="553">
        <f t="shared" si="7"/>
        <v>4</v>
      </c>
      <c r="G45" s="554">
        <f>1000/G44</f>
        <v>5.5555555555555554</v>
      </c>
      <c r="H45" s="555">
        <f t="shared" si="7"/>
        <v>1.5333333333333334</v>
      </c>
      <c r="I45" s="556">
        <f t="shared" si="7"/>
        <v>1.1834319526627219</v>
      </c>
      <c r="J45" s="556">
        <f t="shared" si="7"/>
        <v>499.75012493753127</v>
      </c>
      <c r="K45" s="556">
        <f>1000/K44</f>
        <v>1428.5714285714287</v>
      </c>
      <c r="L45" s="535"/>
      <c r="M45" s="535"/>
      <c r="N45" s="535"/>
    </row>
    <row r="46" spans="1:14" s="392" customFormat="1" ht="6" customHeight="1" x14ac:dyDescent="0.2">
      <c r="B46" s="64"/>
      <c r="D46" s="552"/>
      <c r="E46" s="553"/>
      <c r="F46" s="553"/>
      <c r="G46" s="554"/>
      <c r="H46" s="555"/>
      <c r="I46" s="556"/>
      <c r="J46" s="556"/>
      <c r="K46" s="556"/>
      <c r="L46" s="535"/>
      <c r="M46" s="535"/>
      <c r="N46" s="535"/>
    </row>
    <row r="47" spans="1:14" s="392" customFormat="1" ht="12" x14ac:dyDescent="0.2">
      <c r="A47" s="557" t="s">
        <v>224</v>
      </c>
      <c r="B47" s="421" t="s">
        <v>225</v>
      </c>
      <c r="C47" s="557"/>
      <c r="D47" s="558">
        <v>45.65</v>
      </c>
      <c r="E47" s="559">
        <v>20</v>
      </c>
      <c r="F47" s="559">
        <v>20</v>
      </c>
      <c r="G47" s="560">
        <v>20</v>
      </c>
      <c r="H47" s="561">
        <v>20</v>
      </c>
      <c r="I47" s="562">
        <v>45.65</v>
      </c>
      <c r="J47" s="562">
        <v>50.344999999999999</v>
      </c>
      <c r="K47" s="562">
        <v>54</v>
      </c>
      <c r="L47" s="535"/>
      <c r="M47" s="535"/>
      <c r="N47" s="535"/>
    </row>
    <row r="48" spans="1:14" s="392" customFormat="1" ht="12" x14ac:dyDescent="0.2">
      <c r="B48" s="64" t="s">
        <v>226</v>
      </c>
      <c r="D48" s="563">
        <f t="shared" ref="D48:J48" si="8">D47/3.6*D43</f>
        <v>10715.069444444443</v>
      </c>
      <c r="E48" s="564">
        <f t="shared" si="8"/>
        <v>1622.2222222222222</v>
      </c>
      <c r="F48" s="564">
        <f t="shared" si="8"/>
        <v>1111.1111111111111</v>
      </c>
      <c r="G48" s="565">
        <f>G47/3.6*G43</f>
        <v>750</v>
      </c>
      <c r="H48" s="566">
        <f t="shared" si="8"/>
        <v>3333.333333333333</v>
      </c>
      <c r="I48" s="567">
        <f t="shared" si="8"/>
        <v>10715.069444444443</v>
      </c>
      <c r="J48" s="568">
        <f t="shared" si="8"/>
        <v>27.983429166666664</v>
      </c>
      <c r="K48" s="568">
        <f>K47/3.6*K43</f>
        <v>10.5</v>
      </c>
      <c r="L48" s="535"/>
      <c r="M48" s="535"/>
      <c r="N48" s="535"/>
    </row>
    <row r="49" spans="1:14" s="392" customFormat="1" ht="6" customHeight="1" x14ac:dyDescent="0.2">
      <c r="B49" s="64"/>
      <c r="D49" s="569"/>
      <c r="E49" s="570"/>
      <c r="F49" s="570"/>
      <c r="G49" s="571"/>
      <c r="H49" s="572"/>
      <c r="J49" s="573"/>
      <c r="K49" s="573"/>
      <c r="L49" s="535"/>
      <c r="M49" s="535"/>
      <c r="N49" s="535"/>
    </row>
    <row r="50" spans="1:14" s="392" customFormat="1" ht="12" x14ac:dyDescent="0.2">
      <c r="A50" s="557" t="s">
        <v>227</v>
      </c>
      <c r="B50" s="421" t="s">
        <v>225</v>
      </c>
      <c r="C50" s="557"/>
      <c r="D50" s="574">
        <f t="shared" ref="D50:K50" si="9">D51*3.6</f>
        <v>42.695639020000002</v>
      </c>
      <c r="E50" s="575">
        <f t="shared" si="9"/>
        <v>14.452321440000002</v>
      </c>
      <c r="F50" s="575">
        <f t="shared" si="9"/>
        <v>14.452321440000002</v>
      </c>
      <c r="G50" s="576">
        <f>G51*3.6</f>
        <v>13.396113849999999</v>
      </c>
      <c r="H50" s="577">
        <f t="shared" si="9"/>
        <v>16.987219656000001</v>
      </c>
      <c r="I50" s="578">
        <f t="shared" si="9"/>
        <v>42.695639020000002</v>
      </c>
      <c r="J50" s="578">
        <f t="shared" si="9"/>
        <v>46.368000000000002</v>
      </c>
      <c r="K50" s="578">
        <f t="shared" si="9"/>
        <v>53.82</v>
      </c>
      <c r="L50" s="535"/>
      <c r="M50" s="535"/>
      <c r="N50" s="535"/>
    </row>
    <row r="51" spans="1:14" s="392" customFormat="1" ht="12" x14ac:dyDescent="0.2">
      <c r="B51" s="64" t="s">
        <v>228</v>
      </c>
      <c r="D51" s="579">
        <f t="shared" ref="D51:I51" si="10">(D47*(1-D40/100)-2.447*D40/100-D41/100/2*18.02*2.447*(1-D40/100))/3.6</f>
        <v>11.859899727777778</v>
      </c>
      <c r="E51" s="580">
        <f>(E47*(1-E40/100)-2.447*E40/100-E41/100/2*18.02*2.447*(1-E40/100))/3.6</f>
        <v>4.0145337333333337</v>
      </c>
      <c r="F51" s="580">
        <f t="shared" si="10"/>
        <v>4.0145337333333337</v>
      </c>
      <c r="G51" s="581">
        <f t="shared" si="10"/>
        <v>3.7211427361111107</v>
      </c>
      <c r="H51" s="582">
        <f t="shared" si="10"/>
        <v>4.7186721266666671</v>
      </c>
      <c r="I51" s="583">
        <f t="shared" si="10"/>
        <v>11.859899727777778</v>
      </c>
      <c r="J51" s="584">
        <v>12.88</v>
      </c>
      <c r="K51" s="584">
        <v>14.95</v>
      </c>
      <c r="L51" s="535"/>
      <c r="M51" s="535"/>
      <c r="N51" s="535"/>
    </row>
    <row r="52" spans="1:14" s="392" customFormat="1" ht="12" x14ac:dyDescent="0.2">
      <c r="B52" s="64" t="s">
        <v>229</v>
      </c>
      <c r="D52" s="563">
        <f t="shared" ref="D52:K52" si="11">D53*3.6</f>
        <v>36077.814971899999</v>
      </c>
      <c r="E52" s="564">
        <f t="shared" si="11"/>
        <v>5275.0973256000007</v>
      </c>
      <c r="F52" s="564">
        <f t="shared" si="11"/>
        <v>3613.0803600000004</v>
      </c>
      <c r="G52" s="565">
        <f>G53*3.6</f>
        <v>2411.3004929999997</v>
      </c>
      <c r="H52" s="566">
        <f t="shared" si="11"/>
        <v>11078.62151478261</v>
      </c>
      <c r="I52" s="567">
        <f t="shared" si="11"/>
        <v>36077.814971899999</v>
      </c>
      <c r="J52" s="568">
        <f t="shared" si="11"/>
        <v>92.782368000000005</v>
      </c>
      <c r="K52" s="568">
        <f t="shared" si="11"/>
        <v>37.673999999999992</v>
      </c>
      <c r="L52" s="535"/>
      <c r="M52" s="535"/>
      <c r="N52" s="535"/>
    </row>
    <row r="53" spans="1:14" s="392" customFormat="1" ht="12" x14ac:dyDescent="0.2">
      <c r="B53" s="64" t="s">
        <v>226</v>
      </c>
      <c r="D53" s="563">
        <f>D51*D44</f>
        <v>10021.615269972222</v>
      </c>
      <c r="E53" s="564">
        <f t="shared" ref="E53:K53" si="12">E51*E44</f>
        <v>1465.3048126666667</v>
      </c>
      <c r="F53" s="564">
        <f t="shared" si="12"/>
        <v>1003.6334333333334</v>
      </c>
      <c r="G53" s="565">
        <f t="shared" si="12"/>
        <v>669.80569249999996</v>
      </c>
      <c r="H53" s="566">
        <f t="shared" si="12"/>
        <v>3077.3948652173917</v>
      </c>
      <c r="I53" s="567">
        <f t="shared" si="12"/>
        <v>10021.615269972222</v>
      </c>
      <c r="J53" s="568">
        <f t="shared" si="12"/>
        <v>25.772880000000001</v>
      </c>
      <c r="K53" s="568">
        <f t="shared" si="12"/>
        <v>10.464999999999998</v>
      </c>
      <c r="L53" s="535"/>
      <c r="M53" s="535"/>
      <c r="N53" s="535"/>
    </row>
    <row r="54" spans="1:14" ht="6" customHeight="1" x14ac:dyDescent="0.2">
      <c r="D54" s="446"/>
      <c r="E54" s="447"/>
      <c r="F54" s="447"/>
      <c r="G54" s="448"/>
      <c r="H54" s="448"/>
      <c r="I54" s="449"/>
      <c r="J54" s="449"/>
      <c r="K54" s="449"/>
      <c r="L54" s="450"/>
      <c r="M54" s="450"/>
      <c r="N54" s="450"/>
    </row>
    <row r="55" spans="1:14" s="106" customFormat="1" ht="13.5" x14ac:dyDescent="0.25">
      <c r="A55" s="585" t="s">
        <v>230</v>
      </c>
      <c r="B55" s="557" t="s">
        <v>231</v>
      </c>
      <c r="C55" s="101"/>
      <c r="D55" s="586">
        <v>0.26900000000000002</v>
      </c>
      <c r="E55" s="587">
        <v>0</v>
      </c>
      <c r="F55" s="587">
        <v>0</v>
      </c>
      <c r="G55" s="588">
        <v>0</v>
      </c>
      <c r="H55" s="589">
        <v>0</v>
      </c>
      <c r="I55" s="590">
        <v>0.26500000000000001</v>
      </c>
      <c r="J55" s="590">
        <v>0.215</v>
      </c>
      <c r="K55" s="590">
        <v>0.2</v>
      </c>
      <c r="L55" s="590">
        <v>0.53</v>
      </c>
      <c r="M55" s="590">
        <v>0.53</v>
      </c>
      <c r="N55" s="590">
        <v>0.53</v>
      </c>
    </row>
    <row r="56" spans="1:14" s="106" customFormat="1" ht="14.25" thickBot="1" x14ac:dyDescent="0.3">
      <c r="A56" s="591"/>
      <c r="B56" s="592" t="s">
        <v>232</v>
      </c>
      <c r="C56" s="593"/>
      <c r="D56" s="594">
        <f t="shared" ref="D56:K56" si="13">D55*D38</f>
        <v>7685.7142857142862</v>
      </c>
      <c r="E56" s="595">
        <f t="shared" si="13"/>
        <v>0</v>
      </c>
      <c r="F56" s="595">
        <f t="shared" si="13"/>
        <v>0</v>
      </c>
      <c r="G56" s="596">
        <f t="shared" si="13"/>
        <v>0</v>
      </c>
      <c r="H56" s="597">
        <f t="shared" si="13"/>
        <v>0</v>
      </c>
      <c r="I56" s="598">
        <f t="shared" si="13"/>
        <v>5888.8888888888896</v>
      </c>
      <c r="J56" s="598">
        <f t="shared" si="13"/>
        <v>4387.7551020408164</v>
      </c>
      <c r="K56" s="598">
        <f t="shared" si="13"/>
        <v>4081.632653061225</v>
      </c>
      <c r="L56" s="598">
        <f>L60*L55</f>
        <v>2789.4736842105267</v>
      </c>
      <c r="M56" s="598">
        <f>M60*M55</f>
        <v>2523.8095238095239</v>
      </c>
      <c r="N56" s="598">
        <f>N60*N55</f>
        <v>2304.347826086957</v>
      </c>
    </row>
    <row r="57" spans="1:14" s="106" customFormat="1" x14ac:dyDescent="0.2">
      <c r="A57" s="181" t="s">
        <v>233</v>
      </c>
      <c r="B57" s="392"/>
      <c r="E57" s="599"/>
      <c r="F57" s="599"/>
      <c r="G57" s="599"/>
      <c r="H57" s="599"/>
      <c r="I57" s="599"/>
      <c r="J57" s="600"/>
      <c r="K57" s="600"/>
      <c r="L57" s="601"/>
      <c r="M57" s="601"/>
      <c r="N57" s="601"/>
    </row>
    <row r="58" spans="1:14" s="106" customFormat="1" x14ac:dyDescent="0.2">
      <c r="B58" s="392"/>
      <c r="E58" s="599"/>
      <c r="F58" s="599"/>
      <c r="G58" s="599"/>
      <c r="H58" s="599"/>
      <c r="I58" s="599"/>
      <c r="J58" s="602"/>
      <c r="K58" s="602"/>
      <c r="L58" s="603"/>
      <c r="M58" s="603"/>
      <c r="N58" s="603"/>
    </row>
    <row r="59" spans="1:14" s="106" customFormat="1" x14ac:dyDescent="0.2">
      <c r="A59" s="101" t="str">
        <f>+'vhodni podatki'!C23</f>
        <v>SCOP Toplotne črpalke (W35)</v>
      </c>
      <c r="B59" s="557"/>
      <c r="C59" s="101"/>
      <c r="D59" s="101"/>
      <c r="E59" s="604"/>
      <c r="F59" s="604"/>
      <c r="G59" s="604"/>
      <c r="H59" s="604"/>
      <c r="I59" s="604"/>
      <c r="J59" s="605"/>
      <c r="K59" s="605"/>
      <c r="L59" s="606">
        <f>'vhodni podatki'!H23</f>
        <v>3.8</v>
      </c>
      <c r="M59" s="606">
        <f>'vhodni podatki'!I23</f>
        <v>4.2</v>
      </c>
      <c r="N59" s="606">
        <f>'vhodni podatki'!J23</f>
        <v>4.5999999999999996</v>
      </c>
    </row>
    <row r="60" spans="1:14" s="106" customFormat="1" x14ac:dyDescent="0.2">
      <c r="A60" s="593" t="s">
        <v>234</v>
      </c>
      <c r="B60" s="592" t="s">
        <v>235</v>
      </c>
      <c r="C60" s="593"/>
      <c r="D60" s="593"/>
      <c r="E60" s="607"/>
      <c r="F60" s="607"/>
      <c r="G60" s="607"/>
      <c r="H60" s="607"/>
      <c r="I60" s="607"/>
      <c r="J60" s="602"/>
      <c r="K60" s="602"/>
      <c r="L60" s="608">
        <f>$G$7/L59</f>
        <v>5263.1578947368425</v>
      </c>
      <c r="M60" s="608">
        <f>$G$7/M59</f>
        <v>4761.9047619047615</v>
      </c>
      <c r="N60" s="608">
        <f>$G$7/N59</f>
        <v>4347.826086956522</v>
      </c>
    </row>
    <row r="61" spans="1:14" s="106" customFormat="1" x14ac:dyDescent="0.2">
      <c r="B61" s="392"/>
      <c r="L61" s="398"/>
      <c r="M61" s="398"/>
      <c r="N61" s="398"/>
    </row>
    <row r="62" spans="1:14" s="520" customFormat="1" x14ac:dyDescent="0.2">
      <c r="A62" s="181" t="s">
        <v>236</v>
      </c>
      <c r="B62" s="496" t="s">
        <v>214</v>
      </c>
      <c r="C62" s="509"/>
      <c r="D62" s="518">
        <f>+D38*1.1</f>
        <v>31428.571428571431</v>
      </c>
      <c r="E62" s="518">
        <f>+E38*0.1</f>
        <v>2197.802197802198</v>
      </c>
      <c r="F62" s="518">
        <f>+F38*0.1</f>
        <v>2247.1910112359551</v>
      </c>
      <c r="G62" s="518">
        <f>+G38*0.1</f>
        <v>2222.2222222222222</v>
      </c>
      <c r="H62" s="518">
        <f>+H38*0.1</f>
        <v>2173.913043478261</v>
      </c>
      <c r="I62" s="518">
        <f>+I38*1.1</f>
        <v>24444.444444444445</v>
      </c>
      <c r="J62" s="518">
        <f>+J38*1.1</f>
        <v>22448.979591836738</v>
      </c>
      <c r="K62" s="518">
        <f>+K38*1.1</f>
        <v>22448.979591836738</v>
      </c>
      <c r="L62" s="518">
        <f>+L60*2.5</f>
        <v>13157.894736842107</v>
      </c>
      <c r="M62" s="518">
        <f>+M60*2.5</f>
        <v>11904.761904761905</v>
      </c>
      <c r="N62" s="518">
        <f>+N60*2.5</f>
        <v>10869.565217391304</v>
      </c>
    </row>
    <row r="63" spans="1:14" s="106" customFormat="1" x14ac:dyDescent="0.2">
      <c r="A63" s="95"/>
      <c r="B63" s="609"/>
      <c r="C63" s="95"/>
      <c r="D63" s="95"/>
      <c r="E63" s="95"/>
      <c r="F63" s="95"/>
      <c r="G63" s="95"/>
      <c r="H63" s="95"/>
      <c r="I63" s="95"/>
      <c r="J63" s="95"/>
      <c r="K63" s="95"/>
      <c r="L63" s="610"/>
      <c r="M63" s="610"/>
      <c r="N63" s="610"/>
    </row>
    <row r="64" spans="1:14" s="106" customFormat="1" x14ac:dyDescent="0.2">
      <c r="A64" s="95"/>
      <c r="B64" s="609"/>
      <c r="C64" s="95"/>
      <c r="D64" s="95"/>
      <c r="E64" s="95"/>
      <c r="F64" s="95"/>
      <c r="G64" s="95"/>
      <c r="H64" s="95"/>
      <c r="I64" s="95"/>
      <c r="J64" s="95"/>
      <c r="K64" s="95"/>
      <c r="L64" s="610"/>
      <c r="M64" s="610"/>
      <c r="N64" s="610"/>
    </row>
    <row r="65" spans="1:14" s="106" customFormat="1" x14ac:dyDescent="0.2">
      <c r="A65" s="611"/>
      <c r="B65" s="609"/>
      <c r="C65" s="95"/>
      <c r="D65" s="95"/>
      <c r="E65" s="95"/>
      <c r="F65" s="95"/>
      <c r="G65" s="95"/>
      <c r="H65" s="95"/>
      <c r="I65" s="95"/>
      <c r="J65" s="95"/>
      <c r="K65" s="95"/>
      <c r="L65" s="610"/>
      <c r="M65" s="610"/>
      <c r="N65" s="610"/>
    </row>
    <row r="66" spans="1:14" s="106" customFormat="1" x14ac:dyDescent="0.2">
      <c r="A66" s="95"/>
      <c r="B66" s="609"/>
      <c r="C66" s="95"/>
      <c r="D66" s="95"/>
      <c r="E66" s="95"/>
      <c r="F66" s="95"/>
      <c r="G66" s="95"/>
      <c r="H66" s="95"/>
      <c r="I66" s="95"/>
      <c r="J66" s="95"/>
      <c r="K66" s="95"/>
      <c r="L66" s="610"/>
      <c r="M66" s="610"/>
      <c r="N66" s="610"/>
    </row>
    <row r="67" spans="1:14" s="106" customFormat="1" x14ac:dyDescent="0.2">
      <c r="A67" s="95"/>
      <c r="B67" s="609"/>
      <c r="C67" s="611"/>
      <c r="D67" s="611"/>
      <c r="E67" s="95"/>
      <c r="F67" s="95"/>
      <c r="G67" s="95"/>
      <c r="H67" s="95"/>
      <c r="I67" s="612"/>
      <c r="J67" s="95"/>
      <c r="K67" s="95"/>
      <c r="L67" s="610"/>
      <c r="M67" s="610"/>
      <c r="N67" s="610"/>
    </row>
    <row r="68" spans="1:14" s="106" customFormat="1" x14ac:dyDescent="0.2">
      <c r="A68" s="95"/>
      <c r="B68" s="609"/>
      <c r="C68" s="611"/>
      <c r="D68" s="611"/>
      <c r="E68" s="95"/>
      <c r="F68" s="95"/>
      <c r="G68" s="95"/>
      <c r="H68" s="95"/>
      <c r="I68" s="612"/>
      <c r="J68" s="95"/>
      <c r="K68" s="95"/>
      <c r="L68" s="610"/>
      <c r="M68" s="610"/>
      <c r="N68" s="610"/>
    </row>
    <row r="69" spans="1:14" s="106" customFormat="1" x14ac:dyDescent="0.2">
      <c r="A69" s="95"/>
      <c r="B69" s="609"/>
      <c r="C69" s="611"/>
      <c r="D69" s="611"/>
      <c r="E69" s="95"/>
      <c r="F69" s="95"/>
      <c r="G69" s="95"/>
      <c r="H69" s="95"/>
      <c r="I69" s="95"/>
      <c r="J69" s="95"/>
      <c r="K69" s="95"/>
      <c r="L69" s="610"/>
      <c r="M69" s="610"/>
      <c r="N69" s="610"/>
    </row>
    <row r="70" spans="1:14" s="106" customFormat="1" x14ac:dyDescent="0.2">
      <c r="A70" s="95"/>
      <c r="B70" s="609"/>
      <c r="C70" s="401"/>
      <c r="D70" s="401"/>
      <c r="E70" s="401"/>
      <c r="F70" s="613"/>
      <c r="G70" s="613"/>
      <c r="H70" s="613"/>
      <c r="I70" s="613"/>
      <c r="J70" s="95"/>
      <c r="K70" s="95"/>
      <c r="L70" s="610"/>
      <c r="M70" s="610"/>
      <c r="N70" s="610"/>
    </row>
    <row r="71" spans="1:14" s="106" customFormat="1" x14ac:dyDescent="0.2">
      <c r="A71" s="95"/>
      <c r="B71" s="609"/>
      <c r="C71" s="614"/>
      <c r="D71" s="614"/>
      <c r="E71" s="614"/>
      <c r="F71" s="613"/>
      <c r="G71" s="613"/>
      <c r="H71" s="613"/>
      <c r="I71" s="613"/>
      <c r="J71" s="95"/>
      <c r="K71" s="95"/>
      <c r="L71" s="610"/>
      <c r="M71" s="610"/>
      <c r="N71" s="610"/>
    </row>
    <row r="72" spans="1:14" s="106" customFormat="1" x14ac:dyDescent="0.2">
      <c r="A72" s="95"/>
      <c r="B72" s="609"/>
      <c r="C72" s="401"/>
      <c r="D72" s="401"/>
      <c r="E72" s="401"/>
      <c r="F72" s="615"/>
      <c r="G72" s="616"/>
      <c r="H72" s="616"/>
      <c r="I72" s="99"/>
      <c r="J72" s="95"/>
      <c r="K72" s="95"/>
      <c r="L72" s="610"/>
      <c r="M72" s="610"/>
      <c r="N72" s="610"/>
    </row>
    <row r="73" spans="1:14" s="106" customFormat="1" x14ac:dyDescent="0.2">
      <c r="A73" s="95"/>
      <c r="B73" s="609"/>
      <c r="C73" s="614"/>
      <c r="D73" s="614"/>
      <c r="E73" s="401"/>
      <c r="F73" s="615"/>
      <c r="G73" s="616"/>
      <c r="H73" s="616"/>
      <c r="I73" s="99"/>
      <c r="J73" s="95"/>
      <c r="K73" s="95"/>
      <c r="L73" s="610"/>
      <c r="M73" s="610"/>
      <c r="N73" s="610"/>
    </row>
    <row r="74" spans="1:14" s="181" customFormat="1" x14ac:dyDescent="0.2">
      <c r="A74" s="611"/>
      <c r="B74" s="609"/>
      <c r="C74" s="611"/>
      <c r="D74" s="611"/>
      <c r="E74" s="611"/>
      <c r="F74" s="611"/>
      <c r="G74" s="617"/>
      <c r="H74" s="617"/>
      <c r="I74" s="612"/>
      <c r="J74" s="611"/>
      <c r="K74" s="611"/>
      <c r="L74" s="618"/>
      <c r="M74" s="618"/>
      <c r="N74" s="618"/>
    </row>
    <row r="75" spans="1:14" s="181" customFormat="1" x14ac:dyDescent="0.2">
      <c r="A75" s="611"/>
      <c r="B75" s="609"/>
      <c r="C75" s="611"/>
      <c r="D75" s="611"/>
      <c r="E75" s="611"/>
      <c r="F75" s="611"/>
      <c r="G75" s="617"/>
      <c r="H75" s="617"/>
      <c r="I75" s="612"/>
      <c r="J75" s="611"/>
      <c r="K75" s="611"/>
      <c r="L75" s="618"/>
      <c r="M75" s="618"/>
      <c r="N75" s="618"/>
    </row>
    <row r="76" spans="1:14" s="106" customFormat="1" x14ac:dyDescent="0.2">
      <c r="A76" s="95"/>
      <c r="B76" s="609"/>
      <c r="C76" s="401"/>
      <c r="D76" s="401"/>
      <c r="E76" s="95"/>
      <c r="F76" s="95"/>
      <c r="G76" s="613"/>
      <c r="H76" s="613"/>
      <c r="I76" s="613"/>
      <c r="J76" s="95"/>
      <c r="K76" s="95"/>
      <c r="L76" s="610"/>
      <c r="M76" s="610"/>
      <c r="N76" s="610"/>
    </row>
    <row r="77" spans="1:14" s="106" customFormat="1" x14ac:dyDescent="0.2">
      <c r="A77" s="95"/>
      <c r="B77" s="609"/>
      <c r="C77" s="614"/>
      <c r="D77" s="614"/>
      <c r="E77" s="614"/>
      <c r="F77" s="95"/>
      <c r="G77" s="613"/>
      <c r="H77" s="613"/>
      <c r="I77" s="613"/>
      <c r="J77" s="95"/>
      <c r="K77" s="95"/>
      <c r="L77" s="610"/>
      <c r="M77" s="610"/>
      <c r="N77" s="610"/>
    </row>
    <row r="78" spans="1:14" s="106" customFormat="1" x14ac:dyDescent="0.2">
      <c r="A78" s="95"/>
      <c r="B78" s="609"/>
      <c r="C78" s="619"/>
      <c r="D78" s="619"/>
      <c r="E78" s="615"/>
      <c r="F78" s="620"/>
      <c r="G78" s="134"/>
      <c r="H78" s="134"/>
      <c r="I78" s="99"/>
      <c r="J78" s="95"/>
      <c r="K78" s="95"/>
      <c r="L78" s="610"/>
      <c r="M78" s="610"/>
      <c r="N78" s="610"/>
    </row>
    <row r="79" spans="1:14" s="106" customFormat="1" x14ac:dyDescent="0.2">
      <c r="A79" s="95"/>
      <c r="B79" s="609"/>
      <c r="C79" s="619"/>
      <c r="D79" s="619"/>
      <c r="E79" s="615"/>
      <c r="F79" s="620"/>
      <c r="G79" s="134"/>
      <c r="H79" s="134"/>
      <c r="I79" s="99"/>
      <c r="J79" s="95"/>
      <c r="K79" s="95"/>
      <c r="L79" s="610"/>
      <c r="M79" s="610"/>
      <c r="N79" s="610"/>
    </row>
    <row r="80" spans="1:14" s="181" customFormat="1" x14ac:dyDescent="0.2">
      <c r="A80" s="611"/>
      <c r="B80" s="609"/>
      <c r="C80" s="611"/>
      <c r="D80" s="611"/>
      <c r="E80" s="611"/>
      <c r="F80" s="621"/>
      <c r="G80" s="622"/>
      <c r="H80" s="622"/>
      <c r="I80" s="612"/>
      <c r="J80" s="611"/>
      <c r="K80" s="611"/>
      <c r="L80" s="618"/>
      <c r="M80" s="618"/>
      <c r="N80" s="618"/>
    </row>
    <row r="81" spans="1:14" s="181" customFormat="1" x14ac:dyDescent="0.2">
      <c r="A81" s="611"/>
      <c r="B81" s="609"/>
      <c r="C81" s="611"/>
      <c r="D81" s="611"/>
      <c r="E81" s="611"/>
      <c r="F81" s="621"/>
      <c r="G81" s="622"/>
      <c r="H81" s="622"/>
      <c r="I81" s="612"/>
      <c r="J81" s="611"/>
      <c r="K81" s="611"/>
      <c r="L81" s="618"/>
      <c r="M81" s="618"/>
      <c r="N81" s="618"/>
    </row>
    <row r="82" spans="1:14" s="106" customFormat="1" x14ac:dyDescent="0.2">
      <c r="A82" s="95"/>
      <c r="B82" s="609"/>
      <c r="C82" s="401"/>
      <c r="D82" s="401"/>
      <c r="E82" s="95"/>
      <c r="F82" s="95"/>
      <c r="G82" s="613"/>
      <c r="H82" s="613"/>
      <c r="I82" s="613"/>
      <c r="J82" s="95"/>
      <c r="K82" s="95"/>
      <c r="L82" s="610"/>
      <c r="M82" s="610"/>
      <c r="N82" s="610"/>
    </row>
    <row r="83" spans="1:14" s="106" customFormat="1" x14ac:dyDescent="0.2">
      <c r="A83" s="95"/>
      <c r="B83" s="609"/>
      <c r="C83" s="614"/>
      <c r="D83" s="614"/>
      <c r="E83" s="614"/>
      <c r="F83" s="95"/>
      <c r="G83" s="613"/>
      <c r="H83" s="613"/>
      <c r="I83" s="613"/>
      <c r="J83" s="95"/>
      <c r="K83" s="95"/>
      <c r="L83" s="610"/>
      <c r="M83" s="610"/>
      <c r="N83" s="610"/>
    </row>
    <row r="84" spans="1:14" s="106" customFormat="1" x14ac:dyDescent="0.2">
      <c r="A84" s="95"/>
      <c r="B84" s="609"/>
      <c r="C84" s="619"/>
      <c r="D84" s="619"/>
      <c r="E84" s="615"/>
      <c r="F84" s="620"/>
      <c r="G84" s="134"/>
      <c r="H84" s="134"/>
      <c r="I84" s="99"/>
      <c r="J84" s="95"/>
      <c r="K84" s="95"/>
      <c r="L84" s="610"/>
      <c r="M84" s="610"/>
      <c r="N84" s="610"/>
    </row>
    <row r="85" spans="1:14" s="106" customFormat="1" x14ac:dyDescent="0.2">
      <c r="A85" s="95"/>
      <c r="B85" s="609"/>
      <c r="C85" s="619"/>
      <c r="D85" s="619"/>
      <c r="E85" s="615"/>
      <c r="F85" s="620"/>
      <c r="G85" s="134"/>
      <c r="H85" s="134"/>
      <c r="I85" s="99"/>
      <c r="J85" s="95"/>
      <c r="K85" s="95"/>
      <c r="L85" s="610"/>
      <c r="M85" s="610"/>
      <c r="N85" s="610"/>
    </row>
    <row r="86" spans="1:14" s="181" customFormat="1" x14ac:dyDescent="0.2">
      <c r="A86" s="611"/>
      <c r="B86" s="609"/>
      <c r="C86" s="611"/>
      <c r="D86" s="611"/>
      <c r="E86" s="611"/>
      <c r="F86" s="621"/>
      <c r="G86" s="622"/>
      <c r="H86" s="622"/>
      <c r="I86" s="612"/>
      <c r="J86" s="611"/>
      <c r="K86" s="611"/>
      <c r="L86" s="618"/>
      <c r="M86" s="618"/>
      <c r="N86" s="618"/>
    </row>
    <row r="87" spans="1:14" s="106" customFormat="1" x14ac:dyDescent="0.2">
      <c r="A87" s="95"/>
      <c r="B87" s="609"/>
      <c r="C87" s="95"/>
      <c r="D87" s="95"/>
      <c r="E87" s="95"/>
      <c r="F87" s="95"/>
      <c r="G87" s="95"/>
      <c r="H87" s="95"/>
      <c r="I87" s="95"/>
      <c r="J87" s="95"/>
      <c r="K87" s="95"/>
      <c r="L87" s="610"/>
      <c r="M87" s="610"/>
      <c r="N87" s="610"/>
    </row>
    <row r="88" spans="1:14" s="106" customFormat="1" x14ac:dyDescent="0.2">
      <c r="A88" s="95"/>
      <c r="B88" s="609"/>
      <c r="C88" s="95"/>
      <c r="D88" s="95"/>
      <c r="E88" s="95"/>
      <c r="F88" s="95"/>
      <c r="G88" s="95"/>
      <c r="H88" s="95"/>
      <c r="I88" s="95"/>
      <c r="J88" s="95"/>
      <c r="K88" s="95"/>
      <c r="L88" s="610"/>
      <c r="M88" s="610"/>
      <c r="N88" s="610"/>
    </row>
    <row r="89" spans="1:14" s="106" customFormat="1" x14ac:dyDescent="0.2">
      <c r="A89" s="95"/>
      <c r="B89" s="609"/>
      <c r="C89" s="95"/>
      <c r="D89" s="95"/>
      <c r="E89" s="95"/>
      <c r="F89" s="614"/>
      <c r="G89" s="614"/>
      <c r="H89" s="614"/>
      <c r="I89" s="95"/>
      <c r="J89" s="95"/>
      <c r="K89" s="95"/>
      <c r="L89" s="610"/>
      <c r="M89" s="610"/>
      <c r="N89" s="610"/>
    </row>
    <row r="90" spans="1:14" s="106" customFormat="1" x14ac:dyDescent="0.2">
      <c r="A90" s="95"/>
      <c r="B90" s="609"/>
      <c r="C90" s="95"/>
      <c r="D90" s="95"/>
      <c r="E90" s="95"/>
      <c r="F90" s="614"/>
      <c r="G90" s="614"/>
      <c r="H90" s="614"/>
      <c r="I90" s="99"/>
      <c r="J90" s="95"/>
      <c r="K90" s="95"/>
      <c r="L90" s="610"/>
      <c r="M90" s="610"/>
      <c r="N90" s="610"/>
    </row>
    <row r="91" spans="1:14" s="106" customFormat="1" x14ac:dyDescent="0.2">
      <c r="A91" s="95"/>
      <c r="B91" s="609"/>
      <c r="C91" s="95"/>
      <c r="D91" s="95"/>
      <c r="E91" s="95"/>
      <c r="F91" s="95"/>
      <c r="G91" s="95"/>
      <c r="H91" s="95"/>
      <c r="I91" s="95"/>
      <c r="J91" s="95"/>
      <c r="K91" s="95"/>
      <c r="L91" s="610"/>
      <c r="M91" s="610"/>
      <c r="N91" s="610"/>
    </row>
    <row r="92" spans="1:14" s="106" customFormat="1" x14ac:dyDescent="0.2">
      <c r="A92" s="95"/>
      <c r="B92" s="609"/>
      <c r="C92" s="95"/>
      <c r="D92" s="95"/>
      <c r="E92" s="95"/>
      <c r="F92" s="95"/>
      <c r="G92" s="95"/>
      <c r="H92" s="95"/>
      <c r="I92" s="95"/>
      <c r="J92" s="95"/>
      <c r="K92" s="95"/>
      <c r="L92" s="610"/>
      <c r="M92" s="610"/>
      <c r="N92" s="610"/>
    </row>
    <row r="93" spans="1:14" s="106" customFormat="1" x14ac:dyDescent="0.2">
      <c r="A93" s="95"/>
      <c r="B93" s="609"/>
      <c r="C93" s="95"/>
      <c r="D93" s="95"/>
      <c r="E93" s="95"/>
      <c r="F93" s="614"/>
      <c r="G93" s="614"/>
      <c r="H93" s="614"/>
      <c r="I93" s="95"/>
      <c r="J93" s="95"/>
      <c r="K93" s="95"/>
      <c r="L93" s="610"/>
      <c r="M93" s="610"/>
      <c r="N93" s="610"/>
    </row>
    <row r="94" spans="1:14" s="106" customFormat="1" x14ac:dyDescent="0.2">
      <c r="A94" s="95"/>
      <c r="B94" s="609"/>
      <c r="C94" s="95"/>
      <c r="D94" s="95"/>
      <c r="E94" s="95"/>
      <c r="F94" s="614"/>
      <c r="G94" s="614"/>
      <c r="H94" s="614"/>
      <c r="I94" s="99"/>
      <c r="J94" s="95"/>
      <c r="K94" s="95"/>
      <c r="L94" s="610"/>
      <c r="M94" s="610"/>
      <c r="N94" s="610"/>
    </row>
    <row r="95" spans="1:14" s="106" customFormat="1" x14ac:dyDescent="0.2">
      <c r="A95" s="95"/>
      <c r="B95" s="609"/>
      <c r="C95" s="95"/>
      <c r="D95" s="95"/>
      <c r="E95" s="95"/>
      <c r="F95" s="95"/>
      <c r="G95" s="95"/>
      <c r="H95" s="95"/>
      <c r="I95" s="95"/>
      <c r="J95" s="95"/>
      <c r="K95" s="95"/>
      <c r="L95" s="610"/>
      <c r="M95" s="610"/>
      <c r="N95" s="610"/>
    </row>
    <row r="96" spans="1:14" s="106" customFormat="1" x14ac:dyDescent="0.2">
      <c r="A96" s="95"/>
      <c r="B96" s="609"/>
      <c r="C96" s="95"/>
      <c r="D96" s="95"/>
      <c r="E96" s="95"/>
      <c r="F96" s="95"/>
      <c r="G96" s="95"/>
      <c r="H96" s="95"/>
      <c r="I96" s="95"/>
      <c r="J96" s="95"/>
      <c r="K96" s="95"/>
      <c r="L96" s="610"/>
      <c r="M96" s="610"/>
      <c r="N96" s="610"/>
    </row>
    <row r="97" spans="1:14" s="106" customFormat="1" x14ac:dyDescent="0.2">
      <c r="A97" s="95"/>
      <c r="B97" s="609"/>
      <c r="C97" s="95"/>
      <c r="D97" s="95"/>
      <c r="E97" s="95"/>
      <c r="F97" s="95"/>
      <c r="G97" s="95"/>
      <c r="H97" s="95"/>
      <c r="I97" s="95"/>
      <c r="J97" s="95"/>
      <c r="K97" s="95"/>
      <c r="L97" s="610"/>
      <c r="M97" s="610"/>
      <c r="N97" s="610"/>
    </row>
    <row r="98" spans="1:14" s="106" customFormat="1" x14ac:dyDescent="0.2">
      <c r="A98" s="95"/>
      <c r="B98" s="609"/>
      <c r="C98" s="95"/>
      <c r="D98" s="95"/>
      <c r="E98" s="95"/>
      <c r="F98" s="95"/>
      <c r="G98" s="95"/>
      <c r="H98" s="95"/>
      <c r="I98" s="95"/>
      <c r="J98" s="95"/>
      <c r="K98" s="95"/>
      <c r="L98" s="610"/>
      <c r="M98" s="610"/>
      <c r="N98" s="610"/>
    </row>
    <row r="99" spans="1:14" s="106" customFormat="1" x14ac:dyDescent="0.2">
      <c r="A99" s="95"/>
      <c r="B99" s="609"/>
      <c r="C99" s="95"/>
      <c r="D99" s="95"/>
      <c r="E99" s="95"/>
      <c r="F99" s="95"/>
      <c r="G99" s="95"/>
      <c r="H99" s="95"/>
      <c r="I99" s="95"/>
      <c r="J99" s="95"/>
      <c r="K99" s="95"/>
      <c r="L99" s="610"/>
      <c r="M99" s="610"/>
      <c r="N99" s="610"/>
    </row>
    <row r="100" spans="1:14" s="106" customFormat="1" x14ac:dyDescent="0.2">
      <c r="A100" s="95"/>
      <c r="B100" s="609"/>
      <c r="C100" s="95"/>
      <c r="D100" s="95"/>
      <c r="E100" s="95"/>
      <c r="F100" s="95"/>
      <c r="G100" s="95"/>
      <c r="H100" s="95"/>
      <c r="I100" s="95"/>
      <c r="J100" s="95"/>
      <c r="K100" s="95"/>
      <c r="L100" s="610"/>
      <c r="M100" s="610"/>
      <c r="N100" s="610"/>
    </row>
    <row r="101" spans="1:14" s="106" customFormat="1" x14ac:dyDescent="0.2">
      <c r="B101" s="392"/>
      <c r="L101" s="398"/>
      <c r="M101" s="398"/>
      <c r="N101" s="398"/>
    </row>
    <row r="102" spans="1:14" s="106" customFormat="1" x14ac:dyDescent="0.2">
      <c r="B102" s="392"/>
      <c r="L102" s="398"/>
      <c r="M102" s="398"/>
      <c r="N102" s="398"/>
    </row>
    <row r="103" spans="1:14" s="106" customFormat="1" x14ac:dyDescent="0.2">
      <c r="B103" s="392"/>
      <c r="L103" s="398"/>
      <c r="M103" s="398"/>
      <c r="N103" s="398"/>
    </row>
    <row r="104" spans="1:14" s="106" customFormat="1" x14ac:dyDescent="0.2">
      <c r="B104" s="392"/>
      <c r="L104" s="398"/>
      <c r="M104" s="398"/>
      <c r="N104" s="398"/>
    </row>
    <row r="105" spans="1:14" s="106" customFormat="1" x14ac:dyDescent="0.2">
      <c r="B105" s="392"/>
      <c r="L105" s="398"/>
      <c r="M105" s="398"/>
      <c r="N105" s="398"/>
    </row>
    <row r="106" spans="1:14" s="106" customFormat="1" x14ac:dyDescent="0.2">
      <c r="B106" s="392"/>
      <c r="L106" s="398"/>
      <c r="M106" s="398"/>
      <c r="N106" s="398"/>
    </row>
    <row r="107" spans="1:14" s="106" customFormat="1" x14ac:dyDescent="0.2">
      <c r="B107" s="392"/>
      <c r="L107" s="398"/>
      <c r="M107" s="398"/>
      <c r="N107" s="398"/>
    </row>
    <row r="108" spans="1:14" s="106" customFormat="1" x14ac:dyDescent="0.2">
      <c r="B108" s="392"/>
      <c r="L108" s="398"/>
      <c r="M108" s="398"/>
      <c r="N108" s="398"/>
    </row>
    <row r="109" spans="1:14" s="106" customFormat="1" x14ac:dyDescent="0.2">
      <c r="B109" s="392"/>
      <c r="L109" s="398"/>
      <c r="M109" s="398"/>
      <c r="N109" s="398"/>
    </row>
    <row r="110" spans="1:14" s="106" customFormat="1" x14ac:dyDescent="0.2">
      <c r="B110" s="392"/>
      <c r="L110" s="398"/>
      <c r="M110" s="398"/>
      <c r="N110" s="398"/>
    </row>
    <row r="111" spans="1:14" s="106" customFormat="1" x14ac:dyDescent="0.2">
      <c r="B111" s="392"/>
      <c r="L111" s="398"/>
      <c r="M111" s="398"/>
      <c r="N111" s="398"/>
    </row>
    <row r="112" spans="1:14" s="106" customFormat="1" x14ac:dyDescent="0.2">
      <c r="B112" s="392"/>
      <c r="L112" s="398"/>
      <c r="M112" s="398"/>
      <c r="N112" s="398"/>
    </row>
    <row r="113" spans="2:14" s="106" customFormat="1" x14ac:dyDescent="0.2">
      <c r="B113" s="392"/>
      <c r="L113" s="398"/>
      <c r="M113" s="398"/>
      <c r="N113" s="398"/>
    </row>
    <row r="114" spans="2:14" s="106" customFormat="1" x14ac:dyDescent="0.2">
      <c r="B114" s="392"/>
      <c r="L114" s="398"/>
      <c r="M114" s="398"/>
      <c r="N114" s="398"/>
    </row>
    <row r="115" spans="2:14" s="106" customFormat="1" x14ac:dyDescent="0.2">
      <c r="B115" s="392"/>
      <c r="L115" s="398"/>
      <c r="M115" s="398"/>
      <c r="N115" s="398"/>
    </row>
    <row r="116" spans="2:14" s="106" customFormat="1" x14ac:dyDescent="0.2">
      <c r="B116" s="392"/>
      <c r="L116" s="398"/>
      <c r="M116" s="398"/>
      <c r="N116" s="398"/>
    </row>
    <row r="117" spans="2:14" s="106" customFormat="1" x14ac:dyDescent="0.2">
      <c r="B117" s="392"/>
      <c r="L117" s="398"/>
      <c r="M117" s="398"/>
      <c r="N117" s="398"/>
    </row>
    <row r="118" spans="2:14" s="106" customFormat="1" x14ac:dyDescent="0.2">
      <c r="B118" s="392"/>
      <c r="L118" s="398"/>
      <c r="M118" s="398"/>
      <c r="N118" s="398"/>
    </row>
    <row r="119" spans="2:14" s="106" customFormat="1" x14ac:dyDescent="0.2">
      <c r="B119" s="392"/>
      <c r="L119" s="398"/>
      <c r="M119" s="398"/>
      <c r="N119" s="398"/>
    </row>
    <row r="120" spans="2:14" s="106" customFormat="1" x14ac:dyDescent="0.2">
      <c r="B120" s="392"/>
      <c r="L120" s="398"/>
      <c r="M120" s="398"/>
      <c r="N120" s="398"/>
    </row>
    <row r="121" spans="2:14" s="106" customFormat="1" x14ac:dyDescent="0.2">
      <c r="B121" s="392"/>
      <c r="L121" s="398"/>
      <c r="M121" s="398"/>
      <c r="N121" s="398"/>
    </row>
    <row r="122" spans="2:14" s="106" customFormat="1" x14ac:dyDescent="0.2">
      <c r="B122" s="392"/>
      <c r="L122" s="398"/>
      <c r="M122" s="398"/>
      <c r="N122" s="398"/>
    </row>
    <row r="123" spans="2:14" s="106" customFormat="1" x14ac:dyDescent="0.2">
      <c r="B123" s="392"/>
      <c r="L123" s="398"/>
      <c r="M123" s="398"/>
      <c r="N123" s="398"/>
    </row>
    <row r="124" spans="2:14" s="106" customFormat="1" x14ac:dyDescent="0.2">
      <c r="B124" s="392"/>
      <c r="L124" s="398"/>
      <c r="M124" s="398"/>
      <c r="N124" s="398"/>
    </row>
    <row r="125" spans="2:14" s="106" customFormat="1" x14ac:dyDescent="0.2">
      <c r="B125" s="392"/>
      <c r="L125" s="398"/>
      <c r="M125" s="398"/>
      <c r="N125" s="398"/>
    </row>
    <row r="126" spans="2:14" s="106" customFormat="1" x14ac:dyDescent="0.2">
      <c r="B126" s="392"/>
      <c r="L126" s="398"/>
      <c r="M126" s="398"/>
      <c r="N126" s="398"/>
    </row>
    <row r="127" spans="2:14" s="106" customFormat="1" x14ac:dyDescent="0.2">
      <c r="B127" s="392"/>
      <c r="L127" s="398"/>
      <c r="M127" s="398"/>
      <c r="N127" s="398"/>
    </row>
    <row r="128" spans="2:14" s="106" customFormat="1" x14ac:dyDescent="0.2">
      <c r="B128" s="392"/>
      <c r="L128" s="398"/>
      <c r="M128" s="398"/>
      <c r="N128" s="398"/>
    </row>
    <row r="129" spans="2:14" s="106" customFormat="1" x14ac:dyDescent="0.2">
      <c r="B129" s="392"/>
      <c r="L129" s="398"/>
      <c r="M129" s="398"/>
      <c r="N129" s="398"/>
    </row>
    <row r="130" spans="2:14" s="106" customFormat="1" x14ac:dyDescent="0.2">
      <c r="B130" s="392"/>
      <c r="L130" s="398"/>
      <c r="M130" s="398"/>
      <c r="N130" s="398"/>
    </row>
    <row r="131" spans="2:14" s="106" customFormat="1" x14ac:dyDescent="0.2">
      <c r="B131" s="392"/>
      <c r="L131" s="398"/>
      <c r="M131" s="398"/>
      <c r="N131" s="398"/>
    </row>
    <row r="132" spans="2:14" s="106" customFormat="1" x14ac:dyDescent="0.2">
      <c r="B132" s="392"/>
      <c r="L132" s="398"/>
      <c r="M132" s="398"/>
      <c r="N132" s="398"/>
    </row>
    <row r="133" spans="2:14" s="106" customFormat="1" x14ac:dyDescent="0.2">
      <c r="B133" s="392"/>
      <c r="L133" s="398"/>
      <c r="M133" s="398"/>
      <c r="N133" s="398"/>
    </row>
    <row r="134" spans="2:14" s="106" customFormat="1" x14ac:dyDescent="0.2">
      <c r="B134" s="392"/>
      <c r="L134" s="398"/>
      <c r="M134" s="398"/>
      <c r="N134" s="398"/>
    </row>
    <row r="135" spans="2:14" s="106" customFormat="1" x14ac:dyDescent="0.2">
      <c r="B135" s="392"/>
      <c r="L135" s="398"/>
      <c r="M135" s="398"/>
      <c r="N135" s="398"/>
    </row>
    <row r="136" spans="2:14" s="106" customFormat="1" x14ac:dyDescent="0.2">
      <c r="B136" s="392"/>
      <c r="L136" s="398"/>
      <c r="M136" s="398"/>
      <c r="N136" s="398"/>
    </row>
    <row r="137" spans="2:14" s="106" customFormat="1" x14ac:dyDescent="0.2">
      <c r="B137" s="392"/>
      <c r="L137" s="398"/>
      <c r="M137" s="398"/>
      <c r="N137" s="398"/>
    </row>
    <row r="138" spans="2:14" s="106" customFormat="1" x14ac:dyDescent="0.2">
      <c r="B138" s="392"/>
      <c r="L138" s="398"/>
      <c r="M138" s="398"/>
      <c r="N138" s="398"/>
    </row>
    <row r="139" spans="2:14" s="106" customFormat="1" x14ac:dyDescent="0.2">
      <c r="B139" s="392"/>
      <c r="L139" s="398"/>
      <c r="M139" s="398"/>
      <c r="N139" s="398"/>
    </row>
    <row r="140" spans="2:14" s="106" customFormat="1" x14ac:dyDescent="0.2">
      <c r="B140" s="392"/>
      <c r="L140" s="398"/>
      <c r="M140" s="398"/>
      <c r="N140" s="398"/>
    </row>
    <row r="141" spans="2:14" s="106" customFormat="1" x14ac:dyDescent="0.2">
      <c r="B141" s="392"/>
      <c r="L141" s="398"/>
      <c r="M141" s="398"/>
      <c r="N141" s="398"/>
    </row>
    <row r="142" spans="2:14" s="106" customFormat="1" x14ac:dyDescent="0.2">
      <c r="B142" s="392"/>
      <c r="L142" s="398"/>
      <c r="M142" s="398"/>
      <c r="N142" s="398"/>
    </row>
    <row r="143" spans="2:14" s="106" customFormat="1" x14ac:dyDescent="0.2">
      <c r="B143" s="392"/>
      <c r="L143" s="398"/>
      <c r="M143" s="398"/>
      <c r="N143" s="398"/>
    </row>
    <row r="144" spans="2:14" s="106" customFormat="1" x14ac:dyDescent="0.2">
      <c r="B144" s="392"/>
      <c r="L144" s="398"/>
      <c r="M144" s="398"/>
      <c r="N144" s="398"/>
    </row>
    <row r="145" spans="2:14" s="106" customFormat="1" x14ac:dyDescent="0.2">
      <c r="B145" s="392"/>
      <c r="L145" s="398"/>
      <c r="M145" s="398"/>
      <c r="N145" s="398"/>
    </row>
    <row r="146" spans="2:14" s="106" customFormat="1" x14ac:dyDescent="0.2">
      <c r="B146" s="392"/>
      <c r="L146" s="398"/>
      <c r="M146" s="398"/>
      <c r="N146" s="398"/>
    </row>
    <row r="147" spans="2:14" s="106" customFormat="1" x14ac:dyDescent="0.2">
      <c r="B147" s="392"/>
      <c r="L147" s="398"/>
      <c r="M147" s="398"/>
      <c r="N147" s="398"/>
    </row>
    <row r="148" spans="2:14" s="106" customFormat="1" x14ac:dyDescent="0.2">
      <c r="B148" s="392"/>
      <c r="L148" s="398"/>
      <c r="M148" s="398"/>
      <c r="N148" s="398"/>
    </row>
    <row r="149" spans="2:14" s="106" customFormat="1" x14ac:dyDescent="0.2">
      <c r="B149" s="392"/>
      <c r="L149" s="398"/>
      <c r="M149" s="398"/>
      <c r="N149" s="398"/>
    </row>
    <row r="150" spans="2:14" s="106" customFormat="1" x14ac:dyDescent="0.2">
      <c r="B150" s="392"/>
      <c r="L150" s="398"/>
      <c r="M150" s="398"/>
      <c r="N150" s="398"/>
    </row>
    <row r="151" spans="2:14" s="106" customFormat="1" x14ac:dyDescent="0.2">
      <c r="B151" s="392"/>
      <c r="L151" s="398"/>
      <c r="M151" s="398"/>
      <c r="N151" s="398"/>
    </row>
    <row r="152" spans="2:14" s="106" customFormat="1" x14ac:dyDescent="0.2">
      <c r="B152" s="392"/>
      <c r="L152" s="398"/>
      <c r="M152" s="398"/>
      <c r="N152" s="398"/>
    </row>
    <row r="153" spans="2:14" s="106" customFormat="1" x14ac:dyDescent="0.2">
      <c r="B153" s="392"/>
      <c r="L153" s="398"/>
      <c r="M153" s="398"/>
      <c r="N153" s="398"/>
    </row>
    <row r="154" spans="2:14" s="106" customFormat="1" x14ac:dyDescent="0.2">
      <c r="B154" s="392"/>
      <c r="L154" s="398"/>
      <c r="M154" s="398"/>
      <c r="N154" s="398"/>
    </row>
    <row r="155" spans="2:14" s="106" customFormat="1" x14ac:dyDescent="0.2">
      <c r="B155" s="392"/>
      <c r="L155" s="398"/>
      <c r="M155" s="398"/>
      <c r="N155" s="398"/>
    </row>
    <row r="156" spans="2:14" s="106" customFormat="1" x14ac:dyDescent="0.2">
      <c r="B156" s="392"/>
      <c r="L156" s="398"/>
      <c r="M156" s="398"/>
      <c r="N156" s="398"/>
    </row>
    <row r="157" spans="2:14" s="106" customFormat="1" x14ac:dyDescent="0.2">
      <c r="B157" s="392"/>
      <c r="L157" s="398"/>
      <c r="M157" s="398"/>
      <c r="N157" s="398"/>
    </row>
    <row r="158" spans="2:14" s="106" customFormat="1" x14ac:dyDescent="0.2">
      <c r="B158" s="392"/>
      <c r="L158" s="398"/>
      <c r="M158" s="398"/>
      <c r="N158" s="398"/>
    </row>
    <row r="159" spans="2:14" s="106" customFormat="1" x14ac:dyDescent="0.2">
      <c r="B159" s="392"/>
      <c r="L159" s="398"/>
      <c r="M159" s="398"/>
      <c r="N159" s="398"/>
    </row>
    <row r="160" spans="2:14" s="106" customFormat="1" x14ac:dyDescent="0.2">
      <c r="B160" s="392"/>
      <c r="L160" s="398"/>
      <c r="M160" s="398"/>
      <c r="N160" s="398"/>
    </row>
    <row r="161" spans="2:14" s="106" customFormat="1" x14ac:dyDescent="0.2">
      <c r="B161" s="392"/>
      <c r="L161" s="398"/>
      <c r="M161" s="398"/>
      <c r="N161" s="398"/>
    </row>
    <row r="162" spans="2:14" s="106" customFormat="1" x14ac:dyDescent="0.2">
      <c r="B162" s="392"/>
      <c r="L162" s="398"/>
      <c r="M162" s="398"/>
      <c r="N162" s="398"/>
    </row>
    <row r="163" spans="2:14" s="106" customFormat="1" x14ac:dyDescent="0.2">
      <c r="B163" s="392"/>
      <c r="L163" s="398"/>
      <c r="M163" s="398"/>
      <c r="N163" s="398"/>
    </row>
    <row r="164" spans="2:14" s="106" customFormat="1" x14ac:dyDescent="0.2">
      <c r="B164" s="392"/>
      <c r="L164" s="398"/>
      <c r="M164" s="398"/>
      <c r="N164" s="398"/>
    </row>
    <row r="165" spans="2:14" s="106" customFormat="1" x14ac:dyDescent="0.2">
      <c r="B165" s="392"/>
      <c r="L165" s="398"/>
      <c r="M165" s="398"/>
      <c r="N165" s="398"/>
    </row>
    <row r="166" spans="2:14" s="106" customFormat="1" x14ac:dyDescent="0.2">
      <c r="B166" s="392"/>
      <c r="L166" s="398"/>
      <c r="M166" s="398"/>
      <c r="N166" s="398"/>
    </row>
    <row r="167" spans="2:14" s="106" customFormat="1" x14ac:dyDescent="0.2">
      <c r="B167" s="392"/>
      <c r="L167" s="398"/>
      <c r="M167" s="398"/>
      <c r="N167" s="398"/>
    </row>
    <row r="168" spans="2:14" s="106" customFormat="1" x14ac:dyDescent="0.2">
      <c r="B168" s="392"/>
      <c r="L168" s="398"/>
      <c r="M168" s="398"/>
      <c r="N168" s="398"/>
    </row>
    <row r="169" spans="2:14" s="106" customFormat="1" x14ac:dyDescent="0.2">
      <c r="B169" s="392"/>
      <c r="L169" s="398"/>
      <c r="M169" s="398"/>
      <c r="N169" s="398"/>
    </row>
    <row r="170" spans="2:14" s="106" customFormat="1" x14ac:dyDescent="0.2">
      <c r="B170" s="392"/>
      <c r="L170" s="398"/>
      <c r="M170" s="398"/>
      <c r="N170" s="398"/>
    </row>
    <row r="171" spans="2:14" s="106" customFormat="1" x14ac:dyDescent="0.2">
      <c r="B171" s="392"/>
      <c r="L171" s="398"/>
      <c r="M171" s="398"/>
      <c r="N171" s="398"/>
    </row>
    <row r="172" spans="2:14" s="106" customFormat="1" x14ac:dyDescent="0.2">
      <c r="B172" s="392"/>
      <c r="L172" s="398"/>
      <c r="M172" s="398"/>
      <c r="N172" s="398"/>
    </row>
    <row r="173" spans="2:14" s="106" customFormat="1" x14ac:dyDescent="0.2">
      <c r="B173" s="392"/>
      <c r="L173" s="398"/>
      <c r="M173" s="398"/>
      <c r="N173" s="398"/>
    </row>
    <row r="174" spans="2:14" s="106" customFormat="1" x14ac:dyDescent="0.2">
      <c r="B174" s="392"/>
      <c r="L174" s="398"/>
      <c r="M174" s="398"/>
      <c r="N174" s="398"/>
    </row>
    <row r="175" spans="2:14" s="106" customFormat="1" x14ac:dyDescent="0.2">
      <c r="B175" s="392"/>
      <c r="L175" s="398"/>
      <c r="M175" s="398"/>
      <c r="N175" s="398"/>
    </row>
    <row r="176" spans="2:14" s="106" customFormat="1" x14ac:dyDescent="0.2">
      <c r="B176" s="392"/>
      <c r="L176" s="398"/>
      <c r="M176" s="398"/>
      <c r="N176" s="398"/>
    </row>
    <row r="177" spans="2:14" s="106" customFormat="1" x14ac:dyDescent="0.2">
      <c r="B177" s="392"/>
      <c r="L177" s="398"/>
      <c r="M177" s="398"/>
      <c r="N177" s="398"/>
    </row>
    <row r="178" spans="2:14" s="106" customFormat="1" x14ac:dyDescent="0.2">
      <c r="B178" s="392"/>
      <c r="L178" s="398"/>
      <c r="M178" s="398"/>
      <c r="N178" s="398"/>
    </row>
    <row r="179" spans="2:14" s="106" customFormat="1" x14ac:dyDescent="0.2">
      <c r="B179" s="392"/>
      <c r="L179" s="398"/>
      <c r="M179" s="398"/>
      <c r="N179" s="398"/>
    </row>
    <row r="180" spans="2:14" s="106" customFormat="1" x14ac:dyDescent="0.2">
      <c r="B180" s="392"/>
      <c r="L180" s="398"/>
      <c r="M180" s="398"/>
      <c r="N180" s="398"/>
    </row>
    <row r="181" spans="2:14" s="106" customFormat="1" x14ac:dyDescent="0.2">
      <c r="B181" s="392"/>
      <c r="L181" s="398"/>
      <c r="M181" s="398"/>
      <c r="N181" s="398"/>
    </row>
    <row r="182" spans="2:14" s="106" customFormat="1" x14ac:dyDescent="0.2">
      <c r="B182" s="392"/>
      <c r="L182" s="398"/>
      <c r="M182" s="398"/>
      <c r="N182" s="398"/>
    </row>
    <row r="183" spans="2:14" s="106" customFormat="1" x14ac:dyDescent="0.2">
      <c r="B183" s="392"/>
      <c r="L183" s="398"/>
      <c r="M183" s="398"/>
      <c r="N183" s="398"/>
    </row>
    <row r="184" spans="2:14" s="106" customFormat="1" x14ac:dyDescent="0.2">
      <c r="B184" s="392"/>
      <c r="L184" s="398"/>
      <c r="M184" s="398"/>
      <c r="N184" s="398"/>
    </row>
    <row r="185" spans="2:14" s="106" customFormat="1" x14ac:dyDescent="0.2">
      <c r="B185" s="392"/>
      <c r="L185" s="398"/>
      <c r="M185" s="398"/>
      <c r="N185" s="398"/>
    </row>
    <row r="186" spans="2:14" s="106" customFormat="1" x14ac:dyDescent="0.2">
      <c r="B186" s="392"/>
      <c r="L186" s="398"/>
      <c r="M186" s="398"/>
      <c r="N186" s="398"/>
    </row>
    <row r="187" spans="2:14" s="106" customFormat="1" x14ac:dyDescent="0.2">
      <c r="B187" s="392"/>
      <c r="L187" s="398"/>
      <c r="M187" s="398"/>
      <c r="N187" s="398"/>
    </row>
    <row r="188" spans="2:14" s="106" customFormat="1" x14ac:dyDescent="0.2">
      <c r="B188" s="392"/>
      <c r="L188" s="398"/>
      <c r="M188" s="398"/>
      <c r="N188" s="398"/>
    </row>
    <row r="189" spans="2:14" s="106" customFormat="1" x14ac:dyDescent="0.2">
      <c r="B189" s="392"/>
      <c r="L189" s="398"/>
      <c r="M189" s="398"/>
      <c r="N189" s="398"/>
    </row>
    <row r="190" spans="2:14" s="106" customFormat="1" x14ac:dyDescent="0.2">
      <c r="B190" s="392"/>
      <c r="L190" s="398"/>
      <c r="M190" s="398"/>
      <c r="N190" s="398"/>
    </row>
    <row r="191" spans="2:14" s="106" customFormat="1" x14ac:dyDescent="0.2">
      <c r="B191" s="392"/>
      <c r="L191" s="398"/>
      <c r="M191" s="398"/>
      <c r="N191" s="398"/>
    </row>
    <row r="192" spans="2:14" s="106" customFormat="1" x14ac:dyDescent="0.2">
      <c r="B192" s="392"/>
      <c r="L192" s="398"/>
      <c r="M192" s="398"/>
      <c r="N192" s="398"/>
    </row>
    <row r="193" spans="2:14" s="106" customFormat="1" x14ac:dyDescent="0.2">
      <c r="B193" s="392"/>
      <c r="L193" s="398"/>
      <c r="M193" s="398"/>
      <c r="N193" s="398"/>
    </row>
    <row r="194" spans="2:14" s="106" customFormat="1" x14ac:dyDescent="0.2">
      <c r="B194" s="392"/>
      <c r="L194" s="398"/>
      <c r="M194" s="398"/>
      <c r="N194" s="398"/>
    </row>
    <row r="195" spans="2:14" s="106" customFormat="1" x14ac:dyDescent="0.2">
      <c r="B195" s="392"/>
      <c r="L195" s="398"/>
      <c r="M195" s="398"/>
      <c r="N195" s="398"/>
    </row>
    <row r="196" spans="2:14" s="106" customFormat="1" x14ac:dyDescent="0.2">
      <c r="B196" s="392"/>
      <c r="L196" s="398"/>
      <c r="M196" s="398"/>
      <c r="N196" s="398"/>
    </row>
    <row r="197" spans="2:14" s="106" customFormat="1" x14ac:dyDescent="0.2">
      <c r="B197" s="392"/>
      <c r="L197" s="398"/>
      <c r="M197" s="398"/>
      <c r="N197" s="398"/>
    </row>
    <row r="198" spans="2:14" s="106" customFormat="1" x14ac:dyDescent="0.2">
      <c r="B198" s="392"/>
      <c r="L198" s="398"/>
      <c r="M198" s="398"/>
      <c r="N198" s="398"/>
    </row>
    <row r="199" spans="2:14" s="106" customFormat="1" x14ac:dyDescent="0.2">
      <c r="B199" s="392"/>
      <c r="L199" s="398"/>
      <c r="M199" s="398"/>
      <c r="N199" s="398"/>
    </row>
    <row r="200" spans="2:14" s="106" customFormat="1" x14ac:dyDescent="0.2">
      <c r="B200" s="392"/>
      <c r="L200" s="398"/>
      <c r="M200" s="398"/>
      <c r="N200" s="398"/>
    </row>
    <row r="201" spans="2:14" s="106" customFormat="1" x14ac:dyDescent="0.2">
      <c r="B201" s="392"/>
      <c r="L201" s="398"/>
      <c r="M201" s="398"/>
      <c r="N201" s="398"/>
    </row>
    <row r="202" spans="2:14" s="106" customFormat="1" x14ac:dyDescent="0.2">
      <c r="B202" s="392"/>
      <c r="L202" s="398"/>
      <c r="M202" s="398"/>
      <c r="N202" s="398"/>
    </row>
    <row r="203" spans="2:14" s="106" customFormat="1" x14ac:dyDescent="0.2">
      <c r="B203" s="392"/>
      <c r="L203" s="398"/>
      <c r="M203" s="398"/>
      <c r="N203" s="398"/>
    </row>
    <row r="204" spans="2:14" s="106" customFormat="1" x14ac:dyDescent="0.2">
      <c r="B204" s="392"/>
      <c r="L204" s="398"/>
      <c r="M204" s="398"/>
      <c r="N204" s="398"/>
    </row>
    <row r="205" spans="2:14" s="106" customFormat="1" x14ac:dyDescent="0.2">
      <c r="B205" s="392"/>
      <c r="L205" s="398"/>
      <c r="M205" s="398"/>
      <c r="N205" s="398"/>
    </row>
    <row r="206" spans="2:14" s="106" customFormat="1" x14ac:dyDescent="0.2">
      <c r="B206" s="392"/>
      <c r="L206" s="398"/>
      <c r="M206" s="398"/>
      <c r="N206" s="398"/>
    </row>
    <row r="207" spans="2:14" s="106" customFormat="1" x14ac:dyDescent="0.2">
      <c r="B207" s="392"/>
      <c r="L207" s="398"/>
      <c r="M207" s="398"/>
      <c r="N207" s="398"/>
    </row>
    <row r="208" spans="2:14" s="106" customFormat="1" x14ac:dyDescent="0.2">
      <c r="B208" s="392"/>
      <c r="L208" s="398"/>
      <c r="M208" s="398"/>
      <c r="N208" s="398"/>
    </row>
    <row r="209" spans="2:14" s="106" customFormat="1" x14ac:dyDescent="0.2">
      <c r="B209" s="392"/>
      <c r="L209" s="398"/>
      <c r="M209" s="398"/>
      <c r="N209" s="398"/>
    </row>
    <row r="210" spans="2:14" s="106" customFormat="1" x14ac:dyDescent="0.2">
      <c r="B210" s="392"/>
      <c r="L210" s="398"/>
      <c r="M210" s="398"/>
      <c r="N210" s="398"/>
    </row>
    <row r="211" spans="2:14" s="106" customFormat="1" x14ac:dyDescent="0.2">
      <c r="B211" s="392"/>
      <c r="L211" s="398"/>
      <c r="M211" s="398"/>
      <c r="N211" s="398"/>
    </row>
    <row r="212" spans="2:14" s="106" customFormat="1" x14ac:dyDescent="0.2">
      <c r="B212" s="392"/>
      <c r="L212" s="398"/>
      <c r="M212" s="398"/>
      <c r="N212" s="398"/>
    </row>
    <row r="213" spans="2:14" s="106" customFormat="1" x14ac:dyDescent="0.2">
      <c r="B213" s="392"/>
      <c r="L213" s="398"/>
      <c r="M213" s="398"/>
      <c r="N213" s="398"/>
    </row>
    <row r="214" spans="2:14" s="106" customFormat="1" x14ac:dyDescent="0.2">
      <c r="B214" s="392"/>
      <c r="L214" s="398"/>
      <c r="M214" s="398"/>
      <c r="N214" s="398"/>
    </row>
    <row r="215" spans="2:14" s="106" customFormat="1" x14ac:dyDescent="0.2">
      <c r="B215" s="392"/>
      <c r="L215" s="398"/>
      <c r="M215" s="398"/>
      <c r="N215" s="398"/>
    </row>
    <row r="216" spans="2:14" s="106" customFormat="1" x14ac:dyDescent="0.2">
      <c r="B216" s="392"/>
      <c r="L216" s="398"/>
      <c r="M216" s="398"/>
      <c r="N216" s="398"/>
    </row>
    <row r="217" spans="2:14" s="106" customFormat="1" x14ac:dyDescent="0.2">
      <c r="B217" s="392"/>
      <c r="L217" s="398"/>
      <c r="M217" s="398"/>
      <c r="N217" s="398"/>
    </row>
    <row r="218" spans="2:14" s="106" customFormat="1" x14ac:dyDescent="0.2">
      <c r="B218" s="392"/>
      <c r="L218" s="398"/>
      <c r="M218" s="398"/>
      <c r="N218" s="398"/>
    </row>
    <row r="219" spans="2:14" s="106" customFormat="1" x14ac:dyDescent="0.2">
      <c r="B219" s="392"/>
      <c r="L219" s="398"/>
      <c r="M219" s="398"/>
      <c r="N219" s="398"/>
    </row>
    <row r="220" spans="2:14" s="106" customFormat="1" x14ac:dyDescent="0.2">
      <c r="B220" s="392"/>
      <c r="L220" s="398"/>
      <c r="M220" s="398"/>
      <c r="N220" s="398"/>
    </row>
    <row r="221" spans="2:14" s="106" customFormat="1" x14ac:dyDescent="0.2">
      <c r="B221" s="392"/>
      <c r="L221" s="398"/>
      <c r="M221" s="398"/>
      <c r="N221" s="398"/>
    </row>
    <row r="222" spans="2:14" s="106" customFormat="1" x14ac:dyDescent="0.2">
      <c r="B222" s="392"/>
      <c r="L222" s="398"/>
      <c r="M222" s="398"/>
      <c r="N222" s="398"/>
    </row>
    <row r="223" spans="2:14" s="106" customFormat="1" x14ac:dyDescent="0.2">
      <c r="B223" s="392"/>
      <c r="L223" s="398"/>
      <c r="M223" s="398"/>
      <c r="N223" s="398"/>
    </row>
    <row r="224" spans="2:14" s="106" customFormat="1" x14ac:dyDescent="0.2">
      <c r="B224" s="392"/>
      <c r="L224" s="398"/>
      <c r="M224" s="398"/>
      <c r="N224" s="398"/>
    </row>
    <row r="225" spans="2:14" s="106" customFormat="1" x14ac:dyDescent="0.2">
      <c r="B225" s="392"/>
      <c r="L225" s="398"/>
      <c r="M225" s="398"/>
      <c r="N225" s="398"/>
    </row>
    <row r="226" spans="2:14" s="106" customFormat="1" x14ac:dyDescent="0.2">
      <c r="B226" s="392"/>
      <c r="L226" s="398"/>
      <c r="M226" s="398"/>
      <c r="N226" s="398"/>
    </row>
    <row r="227" spans="2:14" s="106" customFormat="1" x14ac:dyDescent="0.2">
      <c r="B227" s="392"/>
      <c r="L227" s="398"/>
      <c r="M227" s="398"/>
      <c r="N227" s="398"/>
    </row>
    <row r="228" spans="2:14" s="106" customFormat="1" x14ac:dyDescent="0.2">
      <c r="B228" s="392"/>
      <c r="L228" s="398"/>
      <c r="M228" s="398"/>
      <c r="N228" s="398"/>
    </row>
    <row r="229" spans="2:14" s="106" customFormat="1" x14ac:dyDescent="0.2">
      <c r="B229" s="392"/>
      <c r="L229" s="398"/>
      <c r="M229" s="398"/>
      <c r="N229" s="398"/>
    </row>
    <row r="230" spans="2:14" s="106" customFormat="1" x14ac:dyDescent="0.2">
      <c r="B230" s="392"/>
      <c r="L230" s="398"/>
      <c r="M230" s="398"/>
      <c r="N230" s="398"/>
    </row>
    <row r="231" spans="2:14" s="106" customFormat="1" x14ac:dyDescent="0.2">
      <c r="B231" s="392"/>
      <c r="L231" s="398"/>
      <c r="M231" s="398"/>
      <c r="N231" s="398"/>
    </row>
    <row r="232" spans="2:14" s="106" customFormat="1" x14ac:dyDescent="0.2">
      <c r="B232" s="392"/>
      <c r="L232" s="398"/>
      <c r="M232" s="398"/>
      <c r="N232" s="398"/>
    </row>
    <row r="233" spans="2:14" s="106" customFormat="1" x14ac:dyDescent="0.2">
      <c r="B233" s="392"/>
      <c r="L233" s="398"/>
      <c r="M233" s="398"/>
      <c r="N233" s="398"/>
    </row>
    <row r="234" spans="2:14" s="106" customFormat="1" x14ac:dyDescent="0.2">
      <c r="B234" s="392"/>
      <c r="L234" s="398"/>
      <c r="M234" s="398"/>
      <c r="N234" s="398"/>
    </row>
    <row r="235" spans="2:14" s="106" customFormat="1" x14ac:dyDescent="0.2">
      <c r="B235" s="392"/>
      <c r="L235" s="398"/>
      <c r="M235" s="398"/>
      <c r="N235" s="398"/>
    </row>
    <row r="236" spans="2:14" s="106" customFormat="1" x14ac:dyDescent="0.2">
      <c r="B236" s="392"/>
      <c r="L236" s="398"/>
      <c r="M236" s="398"/>
      <c r="N236" s="398"/>
    </row>
    <row r="237" spans="2:14" s="106" customFormat="1" x14ac:dyDescent="0.2">
      <c r="B237" s="392"/>
      <c r="L237" s="398"/>
      <c r="M237" s="398"/>
      <c r="N237" s="398"/>
    </row>
    <row r="238" spans="2:14" s="106" customFormat="1" x14ac:dyDescent="0.2">
      <c r="B238" s="392"/>
      <c r="L238" s="398"/>
      <c r="M238" s="398"/>
      <c r="N238" s="398"/>
    </row>
    <row r="239" spans="2:14" s="106" customFormat="1" x14ac:dyDescent="0.2">
      <c r="B239" s="392"/>
      <c r="L239" s="398"/>
      <c r="M239" s="398"/>
      <c r="N239" s="398"/>
    </row>
    <row r="240" spans="2:14" s="106" customFormat="1" x14ac:dyDescent="0.2">
      <c r="B240" s="392"/>
      <c r="L240" s="398"/>
      <c r="M240" s="398"/>
      <c r="N240" s="398"/>
    </row>
    <row r="241" spans="2:14" s="106" customFormat="1" x14ac:dyDescent="0.2">
      <c r="B241" s="392"/>
      <c r="L241" s="398"/>
      <c r="M241" s="398"/>
      <c r="N241" s="398"/>
    </row>
    <row r="242" spans="2:14" s="106" customFormat="1" x14ac:dyDescent="0.2">
      <c r="B242" s="392"/>
      <c r="L242" s="398"/>
      <c r="M242" s="398"/>
      <c r="N242" s="398"/>
    </row>
    <row r="243" spans="2:14" s="106" customFormat="1" x14ac:dyDescent="0.2">
      <c r="B243" s="392"/>
      <c r="L243" s="398"/>
      <c r="M243" s="398"/>
      <c r="N243" s="398"/>
    </row>
    <row r="244" spans="2:14" s="106" customFormat="1" x14ac:dyDescent="0.2">
      <c r="B244" s="392"/>
      <c r="L244" s="398"/>
      <c r="M244" s="398"/>
      <c r="N244" s="398"/>
    </row>
    <row r="245" spans="2:14" s="106" customFormat="1" x14ac:dyDescent="0.2">
      <c r="B245" s="392"/>
      <c r="L245" s="398"/>
      <c r="M245" s="398"/>
      <c r="N245" s="398"/>
    </row>
    <row r="246" spans="2:14" s="106" customFormat="1" x14ac:dyDescent="0.2">
      <c r="B246" s="392"/>
      <c r="L246" s="398"/>
      <c r="M246" s="398"/>
      <c r="N246" s="398"/>
    </row>
    <row r="247" spans="2:14" s="106" customFormat="1" x14ac:dyDescent="0.2">
      <c r="B247" s="392"/>
      <c r="L247" s="398"/>
      <c r="M247" s="398"/>
      <c r="N247" s="398"/>
    </row>
    <row r="248" spans="2:14" s="106" customFormat="1" x14ac:dyDescent="0.2">
      <c r="B248" s="392"/>
      <c r="L248" s="398"/>
      <c r="M248" s="398"/>
      <c r="N248" s="398"/>
    </row>
    <row r="249" spans="2:14" s="106" customFormat="1" x14ac:dyDescent="0.2">
      <c r="B249" s="392"/>
      <c r="L249" s="398"/>
      <c r="M249" s="398"/>
      <c r="N249" s="398"/>
    </row>
    <row r="250" spans="2:14" s="106" customFormat="1" x14ac:dyDescent="0.2">
      <c r="B250" s="392"/>
      <c r="L250" s="398"/>
      <c r="M250" s="398"/>
      <c r="N250" s="398"/>
    </row>
    <row r="251" spans="2:14" s="106" customFormat="1" x14ac:dyDescent="0.2">
      <c r="B251" s="392"/>
      <c r="L251" s="398"/>
      <c r="M251" s="398"/>
      <c r="N251" s="398"/>
    </row>
    <row r="252" spans="2:14" s="106" customFormat="1" x14ac:dyDescent="0.2">
      <c r="B252" s="392"/>
      <c r="L252" s="398"/>
      <c r="M252" s="398"/>
      <c r="N252" s="398"/>
    </row>
    <row r="253" spans="2:14" s="106" customFormat="1" x14ac:dyDescent="0.2">
      <c r="B253" s="392"/>
      <c r="L253" s="398"/>
      <c r="M253" s="398"/>
      <c r="N253" s="398"/>
    </row>
    <row r="254" spans="2:14" s="106" customFormat="1" x14ac:dyDescent="0.2">
      <c r="B254" s="392"/>
      <c r="L254" s="398"/>
      <c r="M254" s="398"/>
      <c r="N254" s="398"/>
    </row>
    <row r="255" spans="2:14" s="106" customFormat="1" x14ac:dyDescent="0.2">
      <c r="B255" s="392"/>
      <c r="L255" s="398"/>
      <c r="M255" s="398"/>
      <c r="N255" s="398"/>
    </row>
    <row r="256" spans="2:14" s="106" customFormat="1" x14ac:dyDescent="0.2">
      <c r="B256" s="392"/>
      <c r="L256" s="398"/>
      <c r="M256" s="398"/>
      <c r="N256" s="398"/>
    </row>
    <row r="257" spans="2:14" s="106" customFormat="1" x14ac:dyDescent="0.2">
      <c r="B257" s="392"/>
      <c r="L257" s="398"/>
      <c r="M257" s="398"/>
      <c r="N257" s="398"/>
    </row>
    <row r="258" spans="2:14" s="106" customFormat="1" x14ac:dyDescent="0.2">
      <c r="B258" s="392"/>
      <c r="L258" s="398"/>
      <c r="M258" s="398"/>
      <c r="N258" s="398"/>
    </row>
    <row r="259" spans="2:14" s="106" customFormat="1" x14ac:dyDescent="0.2">
      <c r="B259" s="392"/>
      <c r="L259" s="398"/>
      <c r="M259" s="398"/>
      <c r="N259" s="398"/>
    </row>
    <row r="260" spans="2:14" s="106" customFormat="1" x14ac:dyDescent="0.2">
      <c r="B260" s="392"/>
      <c r="L260" s="398"/>
      <c r="M260" s="398"/>
      <c r="N260" s="398"/>
    </row>
    <row r="261" spans="2:14" s="106" customFormat="1" x14ac:dyDescent="0.2">
      <c r="B261" s="392"/>
      <c r="L261" s="398"/>
      <c r="M261" s="398"/>
      <c r="N261" s="398"/>
    </row>
    <row r="262" spans="2:14" s="106" customFormat="1" x14ac:dyDescent="0.2">
      <c r="B262" s="392"/>
      <c r="L262" s="398"/>
      <c r="M262" s="398"/>
      <c r="N262" s="398"/>
    </row>
    <row r="263" spans="2:14" s="106" customFormat="1" x14ac:dyDescent="0.2">
      <c r="B263" s="392"/>
      <c r="L263" s="398"/>
      <c r="M263" s="398"/>
      <c r="N263" s="398"/>
    </row>
    <row r="264" spans="2:14" s="106" customFormat="1" x14ac:dyDescent="0.2">
      <c r="B264" s="392"/>
      <c r="L264" s="398"/>
      <c r="M264" s="398"/>
      <c r="N264" s="398"/>
    </row>
    <row r="265" spans="2:14" s="106" customFormat="1" x14ac:dyDescent="0.2">
      <c r="B265" s="392"/>
      <c r="L265" s="398"/>
      <c r="M265" s="398"/>
      <c r="N265" s="398"/>
    </row>
    <row r="266" spans="2:14" s="106" customFormat="1" x14ac:dyDescent="0.2">
      <c r="B266" s="392"/>
      <c r="L266" s="398"/>
      <c r="M266" s="398"/>
      <c r="N266" s="398"/>
    </row>
    <row r="267" spans="2:14" s="106" customFormat="1" x14ac:dyDescent="0.2">
      <c r="B267" s="392"/>
      <c r="L267" s="398"/>
      <c r="M267" s="398"/>
      <c r="N267" s="398"/>
    </row>
    <row r="268" spans="2:14" s="106" customFormat="1" x14ac:dyDescent="0.2">
      <c r="B268" s="392"/>
      <c r="L268" s="398"/>
      <c r="M268" s="398"/>
      <c r="N268" s="398"/>
    </row>
    <row r="269" spans="2:14" s="106" customFormat="1" x14ac:dyDescent="0.2">
      <c r="B269" s="392"/>
      <c r="L269" s="398"/>
      <c r="M269" s="398"/>
      <c r="N269" s="398"/>
    </row>
    <row r="270" spans="2:14" s="106" customFormat="1" x14ac:dyDescent="0.2">
      <c r="B270" s="392"/>
      <c r="L270" s="398"/>
      <c r="M270" s="398"/>
      <c r="N270" s="398"/>
    </row>
    <row r="271" spans="2:14" s="106" customFormat="1" x14ac:dyDescent="0.2">
      <c r="B271" s="392"/>
      <c r="L271" s="398"/>
      <c r="M271" s="398"/>
      <c r="N271" s="398"/>
    </row>
    <row r="272" spans="2:14" s="106" customFormat="1" x14ac:dyDescent="0.2">
      <c r="B272" s="392"/>
      <c r="L272" s="398"/>
      <c r="M272" s="398"/>
      <c r="N272" s="398"/>
    </row>
    <row r="273" spans="2:14" s="106" customFormat="1" x14ac:dyDescent="0.2">
      <c r="B273" s="392"/>
      <c r="L273" s="398"/>
      <c r="M273" s="398"/>
      <c r="N273" s="398"/>
    </row>
    <row r="274" spans="2:14" s="106" customFormat="1" x14ac:dyDescent="0.2">
      <c r="B274" s="392"/>
      <c r="L274" s="398"/>
      <c r="M274" s="398"/>
      <c r="N274" s="398"/>
    </row>
    <row r="275" spans="2:14" s="106" customFormat="1" x14ac:dyDescent="0.2">
      <c r="B275" s="392"/>
      <c r="L275" s="398"/>
      <c r="M275" s="398"/>
      <c r="N275" s="398"/>
    </row>
    <row r="276" spans="2:14" s="106" customFormat="1" x14ac:dyDescent="0.2">
      <c r="B276" s="392"/>
      <c r="L276" s="398"/>
      <c r="M276" s="398"/>
      <c r="N276" s="398"/>
    </row>
    <row r="277" spans="2:14" s="106" customFormat="1" x14ac:dyDescent="0.2">
      <c r="B277" s="392"/>
      <c r="L277" s="398"/>
      <c r="M277" s="398"/>
      <c r="N277" s="398"/>
    </row>
    <row r="278" spans="2:14" s="106" customFormat="1" x14ac:dyDescent="0.2">
      <c r="B278" s="392"/>
      <c r="L278" s="398"/>
      <c r="M278" s="398"/>
      <c r="N278" s="398"/>
    </row>
    <row r="279" spans="2:14" s="106" customFormat="1" x14ac:dyDescent="0.2">
      <c r="B279" s="392"/>
      <c r="L279" s="398"/>
      <c r="M279" s="398"/>
      <c r="N279" s="398"/>
    </row>
    <row r="280" spans="2:14" s="106" customFormat="1" x14ac:dyDescent="0.2">
      <c r="B280" s="392"/>
      <c r="L280" s="398"/>
      <c r="M280" s="398"/>
      <c r="N280" s="398"/>
    </row>
    <row r="281" spans="2:14" s="106" customFormat="1" x14ac:dyDescent="0.2">
      <c r="B281" s="392"/>
      <c r="L281" s="398"/>
      <c r="M281" s="398"/>
      <c r="N281" s="398"/>
    </row>
    <row r="282" spans="2:14" s="106" customFormat="1" x14ac:dyDescent="0.2">
      <c r="B282" s="392"/>
      <c r="L282" s="398"/>
      <c r="M282" s="398"/>
      <c r="N282" s="398"/>
    </row>
    <row r="283" spans="2:14" s="106" customFormat="1" x14ac:dyDescent="0.2">
      <c r="B283" s="392"/>
      <c r="L283" s="398"/>
      <c r="M283" s="398"/>
      <c r="N283" s="398"/>
    </row>
    <row r="284" spans="2:14" s="106" customFormat="1" x14ac:dyDescent="0.2">
      <c r="B284" s="392"/>
      <c r="L284" s="398"/>
      <c r="M284" s="398"/>
      <c r="N284" s="398"/>
    </row>
    <row r="285" spans="2:14" s="106" customFormat="1" x14ac:dyDescent="0.2">
      <c r="B285" s="392"/>
      <c r="L285" s="398"/>
      <c r="M285" s="398"/>
      <c r="N285" s="398"/>
    </row>
    <row r="286" spans="2:14" s="106" customFormat="1" x14ac:dyDescent="0.2">
      <c r="B286" s="392"/>
      <c r="L286" s="398"/>
      <c r="M286" s="398"/>
      <c r="N286" s="398"/>
    </row>
    <row r="287" spans="2:14" s="106" customFormat="1" x14ac:dyDescent="0.2">
      <c r="B287" s="392"/>
      <c r="L287" s="398"/>
      <c r="M287" s="398"/>
      <c r="N287" s="398"/>
    </row>
    <row r="288" spans="2:14" s="106" customFormat="1" x14ac:dyDescent="0.2">
      <c r="B288" s="392"/>
      <c r="L288" s="398"/>
      <c r="M288" s="398"/>
      <c r="N288" s="398"/>
    </row>
    <row r="289" spans="2:14" s="106" customFormat="1" x14ac:dyDescent="0.2">
      <c r="B289" s="392"/>
      <c r="L289" s="398"/>
      <c r="M289" s="398"/>
      <c r="N289" s="398"/>
    </row>
    <row r="290" spans="2:14" s="106" customFormat="1" x14ac:dyDescent="0.2">
      <c r="B290" s="392"/>
      <c r="L290" s="398"/>
      <c r="M290" s="398"/>
      <c r="N290" s="398"/>
    </row>
    <row r="291" spans="2:14" s="106" customFormat="1" x14ac:dyDescent="0.2">
      <c r="B291" s="392"/>
      <c r="L291" s="398"/>
      <c r="M291" s="398"/>
      <c r="N291" s="398"/>
    </row>
    <row r="292" spans="2:14" s="106" customFormat="1" x14ac:dyDescent="0.2">
      <c r="B292" s="392"/>
      <c r="L292" s="398"/>
      <c r="M292" s="398"/>
      <c r="N292" s="398"/>
    </row>
    <row r="293" spans="2:14" s="106" customFormat="1" x14ac:dyDescent="0.2">
      <c r="B293" s="392"/>
      <c r="L293" s="398"/>
      <c r="M293" s="398"/>
      <c r="N293" s="398"/>
    </row>
    <row r="294" spans="2:14" s="106" customFormat="1" x14ac:dyDescent="0.2">
      <c r="B294" s="392"/>
      <c r="L294" s="398"/>
      <c r="M294" s="398"/>
      <c r="N294" s="398"/>
    </row>
    <row r="295" spans="2:14" s="106" customFormat="1" x14ac:dyDescent="0.2">
      <c r="B295" s="392"/>
      <c r="L295" s="398"/>
      <c r="M295" s="398"/>
      <c r="N295" s="398"/>
    </row>
    <row r="296" spans="2:14" s="106" customFormat="1" x14ac:dyDescent="0.2">
      <c r="B296" s="392"/>
      <c r="L296" s="398"/>
      <c r="M296" s="398"/>
      <c r="N296" s="398"/>
    </row>
    <row r="297" spans="2:14" s="106" customFormat="1" x14ac:dyDescent="0.2">
      <c r="B297" s="392"/>
      <c r="L297" s="398"/>
      <c r="M297" s="398"/>
      <c r="N297" s="398"/>
    </row>
    <row r="298" spans="2:14" s="106" customFormat="1" x14ac:dyDescent="0.2">
      <c r="B298" s="392"/>
      <c r="L298" s="398"/>
      <c r="M298" s="398"/>
      <c r="N298" s="398"/>
    </row>
    <row r="299" spans="2:14" s="106" customFormat="1" x14ac:dyDescent="0.2">
      <c r="B299" s="392"/>
      <c r="L299" s="398"/>
      <c r="M299" s="398"/>
      <c r="N299" s="398"/>
    </row>
    <row r="300" spans="2:14" s="106" customFormat="1" x14ac:dyDescent="0.2">
      <c r="B300" s="392"/>
      <c r="L300" s="398"/>
      <c r="M300" s="398"/>
      <c r="N300" s="398"/>
    </row>
    <row r="301" spans="2:14" s="106" customFormat="1" x14ac:dyDescent="0.2">
      <c r="B301" s="392"/>
      <c r="L301" s="398"/>
      <c r="M301" s="398"/>
      <c r="N301" s="398"/>
    </row>
    <row r="302" spans="2:14" s="106" customFormat="1" x14ac:dyDescent="0.2">
      <c r="B302" s="392"/>
      <c r="L302" s="398"/>
      <c r="M302" s="398"/>
      <c r="N302" s="398"/>
    </row>
    <row r="303" spans="2:14" s="106" customFormat="1" x14ac:dyDescent="0.2">
      <c r="B303" s="392"/>
      <c r="L303" s="398"/>
      <c r="M303" s="398"/>
      <c r="N303" s="398"/>
    </row>
  </sheetData>
  <printOptions horizontalCentered="1"/>
  <pageMargins left="0.78740157480314965" right="0.78740157480314965" top="0.78740157480314965" bottom="0.78740157480314965" header="0.51181102362204722" footer="0.51181102362204722"/>
  <pageSetup scale="6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topLeftCell="A10" zoomScale="85" zoomScaleNormal="115" zoomScaleSheetLayoutView="85" workbookViewId="0">
      <selection activeCell="C27" sqref="C27"/>
    </sheetView>
  </sheetViews>
  <sheetFormatPr defaultRowHeight="12.75" x14ac:dyDescent="0.2"/>
  <cols>
    <col min="1" max="1" width="2.85546875" customWidth="1"/>
    <col min="2" max="2" width="15.7109375" customWidth="1"/>
    <col min="3" max="3" width="16.7109375" customWidth="1"/>
    <col min="4" max="4" width="20.42578125" customWidth="1"/>
    <col min="5" max="5" width="17.28515625" customWidth="1"/>
    <col min="6" max="6" width="14.140625" customWidth="1"/>
    <col min="7" max="7" width="17.140625" customWidth="1"/>
    <col min="8" max="8" width="13.140625" customWidth="1"/>
    <col min="9" max="9" width="9.7109375" bestFit="1" customWidth="1"/>
    <col min="10" max="10" width="11.7109375" bestFit="1" customWidth="1"/>
    <col min="11" max="11" width="13.5703125" bestFit="1" customWidth="1"/>
    <col min="12" max="12" width="12.28515625" bestFit="1" customWidth="1"/>
  </cols>
  <sheetData>
    <row r="1" spans="1:7" x14ac:dyDescent="0.2">
      <c r="A1" s="623"/>
      <c r="B1" s="623"/>
      <c r="C1" s="623"/>
      <c r="D1" s="623"/>
    </row>
    <row r="2" spans="1:7" ht="18" x14ac:dyDescent="0.25">
      <c r="A2" s="624" t="s">
        <v>237</v>
      </c>
      <c r="B2" s="624"/>
      <c r="C2" s="624"/>
      <c r="D2" s="624"/>
    </row>
    <row r="3" spans="1:7" x14ac:dyDescent="0.2">
      <c r="A3" s="623"/>
      <c r="B3" s="623"/>
      <c r="C3" s="623"/>
      <c r="D3" s="623"/>
    </row>
    <row r="4" spans="1:7" x14ac:dyDescent="0.2">
      <c r="A4" s="625"/>
      <c r="B4" s="625"/>
      <c r="C4" s="625"/>
      <c r="D4" s="625"/>
    </row>
    <row r="5" spans="1:7" x14ac:dyDescent="0.2">
      <c r="A5" s="623"/>
      <c r="B5" s="623"/>
      <c r="C5" s="623"/>
      <c r="D5" s="623"/>
    </row>
    <row r="6" spans="1:7" x14ac:dyDescent="0.2">
      <c r="A6" s="801" t="s">
        <v>238</v>
      </c>
      <c r="B6" s="801"/>
      <c r="C6" s="801"/>
      <c r="D6" s="801"/>
      <c r="E6" s="801"/>
      <c r="F6" s="801"/>
      <c r="G6" s="801"/>
    </row>
    <row r="7" spans="1:7" x14ac:dyDescent="0.2">
      <c r="A7" s="6" t="s">
        <v>239</v>
      </c>
      <c r="B7" s="6"/>
      <c r="C7" s="6"/>
    </row>
    <row r="8" spans="1:7" x14ac:dyDescent="0.2">
      <c r="A8" s="6" t="s">
        <v>240</v>
      </c>
      <c r="B8" s="6"/>
      <c r="C8" s="6"/>
    </row>
    <row r="9" spans="1:7" x14ac:dyDescent="0.2">
      <c r="A9" s="6" t="s">
        <v>241</v>
      </c>
      <c r="B9" s="6"/>
      <c r="C9" s="6"/>
    </row>
    <row r="10" spans="1:7" x14ac:dyDescent="0.2">
      <c r="A10" s="6" t="s">
        <v>242</v>
      </c>
      <c r="B10" s="6"/>
      <c r="C10" s="6"/>
    </row>
    <row r="11" spans="1:7" x14ac:dyDescent="0.2">
      <c r="A11" s="6" t="s">
        <v>243</v>
      </c>
      <c r="B11" s="6"/>
      <c r="C11" s="6"/>
    </row>
    <row r="12" spans="1:7" x14ac:dyDescent="0.2">
      <c r="A12" s="6"/>
      <c r="B12" s="6"/>
      <c r="C12" s="6"/>
    </row>
    <row r="13" spans="1:7" x14ac:dyDescent="0.2">
      <c r="A13" s="6" t="s">
        <v>244</v>
      </c>
      <c r="B13" s="6"/>
      <c r="C13" s="6"/>
    </row>
    <row r="14" spans="1:7" x14ac:dyDescent="0.2">
      <c r="A14" s="6" t="s">
        <v>245</v>
      </c>
      <c r="B14" s="6"/>
      <c r="C14" s="6"/>
    </row>
    <row r="15" spans="1:7" x14ac:dyDescent="0.2">
      <c r="A15" s="6" t="s">
        <v>246</v>
      </c>
      <c r="B15" s="6"/>
      <c r="C15" s="6"/>
    </row>
    <row r="16" spans="1:7" x14ac:dyDescent="0.2">
      <c r="A16" s="6" t="s">
        <v>247</v>
      </c>
      <c r="B16" s="6"/>
      <c r="C16" s="6"/>
    </row>
    <row r="18" spans="1:12" x14ac:dyDescent="0.2">
      <c r="A18" s="6" t="s">
        <v>248</v>
      </c>
      <c r="B18" s="6"/>
      <c r="C18" s="6"/>
    </row>
    <row r="19" spans="1:12" x14ac:dyDescent="0.2">
      <c r="A19" s="6" t="s">
        <v>245</v>
      </c>
      <c r="B19" s="6"/>
      <c r="C19" s="6"/>
    </row>
    <row r="20" spans="1:12" x14ac:dyDescent="0.2">
      <c r="A20" s="6" t="s">
        <v>249</v>
      </c>
      <c r="B20" s="6"/>
      <c r="C20" s="6"/>
    </row>
    <row r="21" spans="1:12" x14ac:dyDescent="0.2">
      <c r="A21" s="6" t="s">
        <v>250</v>
      </c>
      <c r="B21" s="6"/>
      <c r="C21" s="6"/>
    </row>
    <row r="25" spans="1:12" x14ac:dyDescent="0.2">
      <c r="B25" s="626" t="s">
        <v>251</v>
      </c>
      <c r="C25" s="627"/>
      <c r="D25" s="628"/>
      <c r="E25" s="628"/>
      <c r="F25" s="627"/>
      <c r="G25" s="627"/>
      <c r="H25" s="627"/>
      <c r="I25" s="627"/>
      <c r="J25" s="629"/>
      <c r="K25" s="629"/>
      <c r="L25" s="629"/>
    </row>
    <row r="26" spans="1:12" x14ac:dyDescent="0.2">
      <c r="A26" s="39"/>
      <c r="B26" s="630" t="s">
        <v>252</v>
      </c>
      <c r="C26" s="631" t="str">
        <f>+'vhodni podatki'!E63</f>
        <v>Polena (bukev)</v>
      </c>
      <c r="D26" s="631" t="str">
        <f>+'vhodni podatki'!F63</f>
        <v>Polena (iglavci)</v>
      </c>
      <c r="E26" s="631" t="str">
        <f>+'vhodni podatki'!G63</f>
        <v>Sekanci</v>
      </c>
      <c r="F26" s="631" t="str">
        <f>+'vhodni podatki'!H63</f>
        <v>Peleti</v>
      </c>
      <c r="G26" s="631" t="str">
        <f>+'vhodni podatki'!I63</f>
        <v>ELKO</v>
      </c>
      <c r="H26" s="631" t="str">
        <f>+'vhodni podatki'!J63</f>
        <v>UNP</v>
      </c>
      <c r="I26" s="631" t="str">
        <f>+'vhodni podatki'!K63</f>
        <v>ZP</v>
      </c>
      <c r="J26" s="631" t="str">
        <f>+'vhodni podatki'!L63</f>
        <v>TČ zrak/voda</v>
      </c>
      <c r="K26" s="631" t="str">
        <f>+'vhodni podatki'!M63</f>
        <v>TČ zemlja/voda</v>
      </c>
      <c r="L26" s="631" t="str">
        <f>+'vhodni podatki'!N63</f>
        <v>TČ voda/voda</v>
      </c>
    </row>
    <row r="27" spans="1:12" x14ac:dyDescent="0.2">
      <c r="B27" s="632">
        <v>0</v>
      </c>
      <c r="C27" s="632">
        <f>'vhodni podatki'!E69</f>
        <v>7650</v>
      </c>
      <c r="D27" s="632">
        <f>'vhodni podatki'!F69</f>
        <v>7650</v>
      </c>
      <c r="E27" s="632">
        <f>'vhodni podatki'!G69</f>
        <v>19200</v>
      </c>
      <c r="F27" s="632">
        <f>'vhodni podatki'!H69</f>
        <v>12000</v>
      </c>
      <c r="G27" s="632">
        <f>'vhodni podatki'!I69</f>
        <v>7800</v>
      </c>
      <c r="H27" s="632">
        <f>'vhodni podatki'!J69</f>
        <v>6250</v>
      </c>
      <c r="I27" s="632">
        <f>'vhodni podatki'!K69</f>
        <v>6150</v>
      </c>
      <c r="J27" s="632">
        <f>'vhodni podatki'!L69</f>
        <v>11600</v>
      </c>
      <c r="K27" s="632">
        <f>'vhodni podatki'!M69</f>
        <v>20000</v>
      </c>
      <c r="L27" s="632">
        <f>'vhodni podatki'!N69</f>
        <v>6900</v>
      </c>
    </row>
    <row r="30" spans="1:12" x14ac:dyDescent="0.2">
      <c r="B30" s="633" t="s">
        <v>253</v>
      </c>
      <c r="C30" s="628"/>
      <c r="D30" s="628"/>
      <c r="E30" s="627"/>
      <c r="F30" s="627"/>
      <c r="G30" s="627"/>
      <c r="H30" s="627"/>
      <c r="I30" s="627"/>
      <c r="J30" s="629"/>
      <c r="K30" s="629"/>
      <c r="L30" s="629"/>
    </row>
    <row r="31" spans="1:12" x14ac:dyDescent="0.2">
      <c r="B31" s="634" t="s">
        <v>202</v>
      </c>
      <c r="C31" s="631" t="str">
        <f>+C26</f>
        <v>Polena (bukev)</v>
      </c>
      <c r="D31" s="631" t="str">
        <f t="shared" ref="D31:J31" si="0">+D26</f>
        <v>Polena (iglavci)</v>
      </c>
      <c r="E31" s="631" t="str">
        <f t="shared" si="0"/>
        <v>Sekanci</v>
      </c>
      <c r="F31" s="631" t="str">
        <f t="shared" si="0"/>
        <v>Peleti</v>
      </c>
      <c r="G31" s="631" t="str">
        <f t="shared" si="0"/>
        <v>ELKO</v>
      </c>
      <c r="H31" s="631" t="str">
        <f t="shared" si="0"/>
        <v>UNP</v>
      </c>
      <c r="I31" s="631" t="str">
        <f t="shared" si="0"/>
        <v>ZP</v>
      </c>
      <c r="J31" s="631" t="str">
        <f t="shared" si="0"/>
        <v>TČ zrak/voda</v>
      </c>
      <c r="K31" s="631" t="str">
        <f t="shared" ref="K31:L31" si="1">+K26</f>
        <v>TČ zemlja/voda</v>
      </c>
      <c r="L31" s="631" t="str">
        <f t="shared" si="1"/>
        <v>TČ voda/voda</v>
      </c>
    </row>
    <row r="32" spans="1:12" x14ac:dyDescent="0.2">
      <c r="B32" s="632">
        <f>rezultati!E42</f>
        <v>2661.5627397414382</v>
      </c>
      <c r="C32" s="632">
        <f>rezultati!F42-'stroški investicije'!E51</f>
        <v>865.04980050722463</v>
      </c>
      <c r="D32" s="632">
        <f>rezultati!G42-'stroški investicije'!F51</f>
        <v>869.35722116884392</v>
      </c>
      <c r="E32" s="632">
        <f>rezultati!H42-'stroški investicije'!G51</f>
        <v>875.21099902234357</v>
      </c>
      <c r="F32" s="632">
        <f>rezultati!I42-'stroški investicije'!H51</f>
        <v>1418.9962375986381</v>
      </c>
      <c r="G32" s="632">
        <f>rezultati!J42-'stroški investicije'!I51</f>
        <v>2114.5376864655627</v>
      </c>
      <c r="H32" s="632">
        <f>rezultati!K42-'stroški investicije'!J51</f>
        <v>2860.0094301214208</v>
      </c>
      <c r="I32" s="632">
        <f>rezultati!L42-'stroški investicije'!K51</f>
        <v>1520.4561224489798</v>
      </c>
      <c r="J32" s="632">
        <f>rezultati!M42-'stroški investicije'!L51</f>
        <v>929.30000000000007</v>
      </c>
      <c r="K32" s="632">
        <f>rezultati!N42-'stroški investicije'!M51</f>
        <v>893.13333333333333</v>
      </c>
      <c r="L32" s="632">
        <f>rezultati!O42-'stroški investicije'!N51</f>
        <v>798.76086956521738</v>
      </c>
    </row>
    <row r="33" spans="2:12" x14ac:dyDescent="0.2">
      <c r="B33" s="632">
        <f>B32-B32</f>
        <v>0</v>
      </c>
      <c r="C33" s="632">
        <f>$B$32-C32</f>
        <v>1796.5129392342137</v>
      </c>
      <c r="D33" s="632">
        <f t="shared" ref="D33:I33" si="2">$B$32-D32</f>
        <v>1792.2055185725944</v>
      </c>
      <c r="E33" s="632">
        <f t="shared" si="2"/>
        <v>1786.3517407190948</v>
      </c>
      <c r="F33" s="632">
        <f t="shared" si="2"/>
        <v>1242.5665021428001</v>
      </c>
      <c r="G33" s="632">
        <f t="shared" si="2"/>
        <v>547.02505327587551</v>
      </c>
      <c r="H33" s="632">
        <f>$B$32-H32</f>
        <v>-198.44669037998256</v>
      </c>
      <c r="I33" s="632">
        <f t="shared" si="2"/>
        <v>1141.1066172924584</v>
      </c>
      <c r="J33" s="632">
        <f>$B$32-J32</f>
        <v>1732.2627397414381</v>
      </c>
      <c r="K33" s="632">
        <f>$B$32-K32</f>
        <v>1768.429406408105</v>
      </c>
      <c r="L33" s="632">
        <f>$B$32-L32</f>
        <v>1862.8018701762207</v>
      </c>
    </row>
    <row r="35" spans="2:12" x14ac:dyDescent="0.2">
      <c r="D35" s="24" t="s">
        <v>254</v>
      </c>
      <c r="E35" s="635">
        <v>0.04</v>
      </c>
    </row>
  </sheetData>
  <mergeCells count="1">
    <mergeCell ref="A6:G6"/>
  </mergeCells>
  <pageMargins left="0.70866141732283472" right="0.70866141732283472" top="0.74803149606299213" bottom="0.74803149606299213" header="0.31496062992125984" footer="0.31496062992125984"/>
  <pageSetup paperSize="9" scale="81" orientation="landscape" r:id="rId1"/>
  <headerFooter alignWithMargins="0"/>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view="pageBreakPreview" topLeftCell="A15" zoomScale="85" zoomScaleNormal="100" zoomScaleSheetLayoutView="85" workbookViewId="0">
      <selection activeCell="K26" sqref="K26"/>
    </sheetView>
  </sheetViews>
  <sheetFormatPr defaultRowHeight="12.75" x14ac:dyDescent="0.2"/>
  <cols>
    <col min="1" max="1" width="12.42578125" customWidth="1"/>
    <col min="3" max="3" width="10.42578125" customWidth="1"/>
    <col min="6" max="6" width="12.140625" customWidth="1"/>
    <col min="8" max="8" width="15" customWidth="1"/>
    <col min="9" max="9" width="12" customWidth="1"/>
  </cols>
  <sheetData>
    <row r="2" spans="1:12" x14ac:dyDescent="0.2">
      <c r="A2" s="802" t="s">
        <v>363</v>
      </c>
      <c r="B2" s="802"/>
      <c r="C2" s="802"/>
      <c r="D2" s="802"/>
      <c r="E2" s="802"/>
      <c r="F2" s="802"/>
      <c r="G2" s="802"/>
    </row>
    <row r="3" spans="1:12" x14ac:dyDescent="0.2">
      <c r="A3" s="636"/>
      <c r="B3" s="637"/>
      <c r="C3" s="637"/>
      <c r="D3" s="637"/>
      <c r="E3" s="637"/>
      <c r="F3" s="637"/>
      <c r="G3" s="637"/>
    </row>
    <row r="4" spans="1:12" x14ac:dyDescent="0.2">
      <c r="A4" s="802" t="s">
        <v>256</v>
      </c>
      <c r="B4" s="802"/>
      <c r="C4" s="802"/>
      <c r="D4" s="802"/>
      <c r="E4" s="802"/>
      <c r="F4" s="802"/>
      <c r="G4" s="637"/>
    </row>
    <row r="5" spans="1:12" x14ac:dyDescent="0.2">
      <c r="A5" s="3"/>
    </row>
    <row r="6" spans="1:12" x14ac:dyDescent="0.2">
      <c r="A6" s="803" t="s">
        <v>257</v>
      </c>
      <c r="B6" s="803"/>
      <c r="D6" s="638">
        <f>'podatki analize'!C27/'podatki analize'!C33</f>
        <v>4.258249318961715</v>
      </c>
      <c r="E6" s="38" t="s">
        <v>258</v>
      </c>
      <c r="F6" s="3"/>
      <c r="G6" s="3"/>
      <c r="H6" s="3"/>
      <c r="I6" s="3"/>
      <c r="J6" s="3"/>
      <c r="K6" s="3"/>
      <c r="L6" s="3"/>
    </row>
    <row r="7" spans="1:12" x14ac:dyDescent="0.2">
      <c r="A7" s="801" t="s">
        <v>259</v>
      </c>
      <c r="B7" s="801"/>
      <c r="D7" s="639">
        <f>NPV('podatki analize'!E35,B13:B27)-B12</f>
        <v>17267.958830159063</v>
      </c>
      <c r="E7" s="38" t="s">
        <v>260</v>
      </c>
    </row>
    <row r="8" spans="1:12" x14ac:dyDescent="0.2">
      <c r="A8" s="801" t="s">
        <v>261</v>
      </c>
      <c r="B8" s="801"/>
      <c r="C8" s="3"/>
      <c r="D8" s="639">
        <f>NPV('podatki analize'!E35,F13:F27)+F12</f>
        <v>12324.326885309092</v>
      </c>
      <c r="E8" s="38" t="s">
        <v>260</v>
      </c>
    </row>
    <row r="9" spans="1:12" x14ac:dyDescent="0.2">
      <c r="A9" s="801" t="s">
        <v>262</v>
      </c>
      <c r="B9" s="801"/>
      <c r="D9" s="640">
        <f>IRR(F12:F27,0.01)</f>
        <v>0.22343423280276031</v>
      </c>
      <c r="E9" s="38"/>
    </row>
    <row r="10" spans="1:12" x14ac:dyDescent="0.2">
      <c r="A10" s="2"/>
      <c r="B10" s="2"/>
      <c r="C10" s="2"/>
      <c r="D10" s="2"/>
      <c r="E10" s="2"/>
      <c r="F10" s="2"/>
      <c r="G10" s="2"/>
      <c r="H10" s="2"/>
    </row>
    <row r="11" spans="1:12" ht="52.5" customHeight="1" x14ac:dyDescent="0.2">
      <c r="A11" s="641" t="s">
        <v>263</v>
      </c>
      <c r="B11" s="642" t="s">
        <v>264</v>
      </c>
      <c r="C11" s="641" t="s">
        <v>265</v>
      </c>
      <c r="D11" s="643"/>
      <c r="E11" s="641" t="s">
        <v>263</v>
      </c>
      <c r="F11" s="642" t="s">
        <v>264</v>
      </c>
      <c r="G11" s="641" t="s">
        <v>266</v>
      </c>
      <c r="H11" s="644" t="s">
        <v>267</v>
      </c>
    </row>
    <row r="12" spans="1:12" x14ac:dyDescent="0.2">
      <c r="A12" s="75">
        <v>0</v>
      </c>
      <c r="B12" s="645">
        <f>-'podatki analize'!C27</f>
        <v>-7650</v>
      </c>
      <c r="C12" s="645">
        <f>'podatki analize'!C32</f>
        <v>865.04980050722463</v>
      </c>
      <c r="D12" s="75"/>
      <c r="E12" s="75">
        <v>0</v>
      </c>
      <c r="F12" s="645">
        <f>B12</f>
        <v>-7650</v>
      </c>
      <c r="G12" s="645">
        <f>F12</f>
        <v>-7650</v>
      </c>
      <c r="H12" s="645">
        <f>'podatki analize'!C33</f>
        <v>1796.5129392342137</v>
      </c>
      <c r="J12" s="646"/>
      <c r="K12" s="646"/>
    </row>
    <row r="13" spans="1:12" x14ac:dyDescent="0.2">
      <c r="A13" s="39">
        <v>1</v>
      </c>
      <c r="B13" s="647">
        <f>C12</f>
        <v>865.04980050722463</v>
      </c>
      <c r="C13" s="39"/>
      <c r="D13" s="39"/>
      <c r="E13" s="39">
        <v>1</v>
      </c>
      <c r="F13" s="647">
        <f>H12</f>
        <v>1796.5129392342137</v>
      </c>
      <c r="G13" s="647">
        <f t="shared" ref="G13:G27" si="0">G12+F13</f>
        <v>-5853.4870607657867</v>
      </c>
      <c r="H13" s="39"/>
    </row>
    <row r="14" spans="1:12" x14ac:dyDescent="0.2">
      <c r="A14" s="39">
        <v>2</v>
      </c>
      <c r="B14" s="647">
        <f t="shared" ref="B14:B27" si="1">B13</f>
        <v>865.04980050722463</v>
      </c>
      <c r="C14" s="39"/>
      <c r="D14" s="39"/>
      <c r="E14" s="39">
        <v>2</v>
      </c>
      <c r="F14" s="647">
        <f t="shared" ref="F14:F27" si="2">F13</f>
        <v>1796.5129392342137</v>
      </c>
      <c r="G14" s="647">
        <f t="shared" si="0"/>
        <v>-4056.974121531573</v>
      </c>
      <c r="H14" s="39"/>
    </row>
    <row r="15" spans="1:12" x14ac:dyDescent="0.2">
      <c r="A15" s="39">
        <v>3</v>
      </c>
      <c r="B15" s="647">
        <f t="shared" si="1"/>
        <v>865.04980050722463</v>
      </c>
      <c r="C15" s="39"/>
      <c r="D15" s="39"/>
      <c r="E15" s="39">
        <v>3</v>
      </c>
      <c r="F15" s="647">
        <f t="shared" si="2"/>
        <v>1796.5129392342137</v>
      </c>
      <c r="G15" s="647">
        <f t="shared" si="0"/>
        <v>-2260.4611822973593</v>
      </c>
      <c r="H15" s="39"/>
      <c r="J15" s="646"/>
      <c r="K15" s="646"/>
    </row>
    <row r="16" spans="1:12" x14ac:dyDescent="0.2">
      <c r="A16" s="39">
        <v>4</v>
      </c>
      <c r="B16" s="647">
        <f t="shared" si="1"/>
        <v>865.04980050722463</v>
      </c>
      <c r="C16" s="39"/>
      <c r="D16" s="39"/>
      <c r="E16" s="39">
        <v>4</v>
      </c>
      <c r="F16" s="647">
        <f t="shared" si="2"/>
        <v>1796.5129392342137</v>
      </c>
      <c r="G16" s="647">
        <f t="shared" si="0"/>
        <v>-463.94824306314558</v>
      </c>
      <c r="H16" s="39"/>
    </row>
    <row r="17" spans="1:8" x14ac:dyDescent="0.2">
      <c r="A17" s="39">
        <v>5</v>
      </c>
      <c r="B17" s="647">
        <f t="shared" si="1"/>
        <v>865.04980050722463</v>
      </c>
      <c r="C17" s="39"/>
      <c r="D17" s="39"/>
      <c r="E17" s="39">
        <v>5</v>
      </c>
      <c r="F17" s="647">
        <f t="shared" si="2"/>
        <v>1796.5129392342137</v>
      </c>
      <c r="G17" s="647">
        <f t="shared" si="0"/>
        <v>1332.5646961710681</v>
      </c>
      <c r="H17" s="39"/>
    </row>
    <row r="18" spans="1:8" x14ac:dyDescent="0.2">
      <c r="A18" s="39">
        <v>6</v>
      </c>
      <c r="B18" s="647">
        <f t="shared" si="1"/>
        <v>865.04980050722463</v>
      </c>
      <c r="C18" s="39"/>
      <c r="D18" s="39"/>
      <c r="E18" s="39">
        <v>6</v>
      </c>
      <c r="F18" s="647">
        <f t="shared" si="2"/>
        <v>1796.5129392342137</v>
      </c>
      <c r="G18" s="647">
        <f t="shared" si="0"/>
        <v>3129.0776354052819</v>
      </c>
      <c r="H18" s="39"/>
    </row>
    <row r="19" spans="1:8" x14ac:dyDescent="0.2">
      <c r="A19" s="39">
        <v>7</v>
      </c>
      <c r="B19" s="647">
        <f t="shared" si="1"/>
        <v>865.04980050722463</v>
      </c>
      <c r="C19" s="39"/>
      <c r="D19" s="39"/>
      <c r="E19" s="39">
        <v>7</v>
      </c>
      <c r="F19" s="647">
        <f t="shared" si="2"/>
        <v>1796.5129392342137</v>
      </c>
      <c r="G19" s="647">
        <f t="shared" si="0"/>
        <v>4925.5905746394956</v>
      </c>
      <c r="H19" s="39"/>
    </row>
    <row r="20" spans="1:8" x14ac:dyDescent="0.2">
      <c r="A20" s="39">
        <v>8</v>
      </c>
      <c r="B20" s="647">
        <f t="shared" si="1"/>
        <v>865.04980050722463</v>
      </c>
      <c r="C20" s="39"/>
      <c r="D20" s="39"/>
      <c r="E20" s="39">
        <v>8</v>
      </c>
      <c r="F20" s="647">
        <f t="shared" si="2"/>
        <v>1796.5129392342137</v>
      </c>
      <c r="G20" s="647">
        <f t="shared" si="0"/>
        <v>6722.1035138737097</v>
      </c>
      <c r="H20" s="39"/>
    </row>
    <row r="21" spans="1:8" x14ac:dyDescent="0.2">
      <c r="A21" s="39">
        <v>9</v>
      </c>
      <c r="B21" s="647">
        <f t="shared" si="1"/>
        <v>865.04980050722463</v>
      </c>
      <c r="C21" s="39"/>
      <c r="D21" s="39"/>
      <c r="E21" s="39">
        <v>9</v>
      </c>
      <c r="F21" s="647">
        <f t="shared" si="2"/>
        <v>1796.5129392342137</v>
      </c>
      <c r="G21" s="647">
        <f t="shared" si="0"/>
        <v>8518.616453107923</v>
      </c>
      <c r="H21" s="39"/>
    </row>
    <row r="22" spans="1:8" x14ac:dyDescent="0.2">
      <c r="A22" s="39">
        <v>10</v>
      </c>
      <c r="B22" s="647">
        <f t="shared" si="1"/>
        <v>865.04980050722463</v>
      </c>
      <c r="C22" s="39"/>
      <c r="D22" s="39"/>
      <c r="E22" s="39">
        <v>10</v>
      </c>
      <c r="F22" s="647">
        <f t="shared" si="2"/>
        <v>1796.5129392342137</v>
      </c>
      <c r="G22" s="647">
        <f t="shared" si="0"/>
        <v>10315.129392342136</v>
      </c>
      <c r="H22" s="39"/>
    </row>
    <row r="23" spans="1:8" x14ac:dyDescent="0.2">
      <c r="A23" s="39">
        <v>11</v>
      </c>
      <c r="B23" s="647">
        <f t="shared" si="1"/>
        <v>865.04980050722463</v>
      </c>
      <c r="C23" s="39"/>
      <c r="D23" s="39"/>
      <c r="E23" s="39">
        <v>11</v>
      </c>
      <c r="F23" s="647">
        <f t="shared" si="2"/>
        <v>1796.5129392342137</v>
      </c>
      <c r="G23" s="647">
        <f t="shared" si="0"/>
        <v>12111.64233157635</v>
      </c>
      <c r="H23" s="39"/>
    </row>
    <row r="24" spans="1:8" x14ac:dyDescent="0.2">
      <c r="A24" s="39">
        <v>12</v>
      </c>
      <c r="B24" s="647">
        <f t="shared" si="1"/>
        <v>865.04980050722463</v>
      </c>
      <c r="C24" s="39"/>
      <c r="D24" s="39"/>
      <c r="E24" s="39">
        <v>12</v>
      </c>
      <c r="F24" s="647">
        <f t="shared" si="2"/>
        <v>1796.5129392342137</v>
      </c>
      <c r="G24" s="647">
        <f t="shared" si="0"/>
        <v>13908.155270810563</v>
      </c>
      <c r="H24" s="39"/>
    </row>
    <row r="25" spans="1:8" x14ac:dyDescent="0.2">
      <c r="A25" s="39">
        <v>13</v>
      </c>
      <c r="B25" s="647">
        <f t="shared" si="1"/>
        <v>865.04980050722463</v>
      </c>
      <c r="C25" s="39"/>
      <c r="D25" s="39"/>
      <c r="E25" s="39">
        <v>13</v>
      </c>
      <c r="F25" s="647">
        <f t="shared" si="2"/>
        <v>1796.5129392342137</v>
      </c>
      <c r="G25" s="647">
        <f t="shared" si="0"/>
        <v>15704.668210044776</v>
      </c>
      <c r="H25" s="39"/>
    </row>
    <row r="26" spans="1:8" x14ac:dyDescent="0.2">
      <c r="A26" s="39">
        <v>14</v>
      </c>
      <c r="B26" s="647">
        <f t="shared" si="1"/>
        <v>865.04980050722463</v>
      </c>
      <c r="C26" s="39"/>
      <c r="D26" s="39"/>
      <c r="E26" s="39">
        <v>14</v>
      </c>
      <c r="F26" s="647">
        <f t="shared" si="2"/>
        <v>1796.5129392342137</v>
      </c>
      <c r="G26" s="647">
        <f t="shared" si="0"/>
        <v>17501.181149278989</v>
      </c>
      <c r="H26" s="39"/>
    </row>
    <row r="27" spans="1:8" x14ac:dyDescent="0.2">
      <c r="A27" s="39">
        <v>15</v>
      </c>
      <c r="B27" s="647">
        <f t="shared" si="1"/>
        <v>865.04980050722463</v>
      </c>
      <c r="C27" s="39"/>
      <c r="D27" s="39"/>
      <c r="E27" s="39">
        <v>15</v>
      </c>
      <c r="F27" s="647">
        <f t="shared" si="2"/>
        <v>1796.5129392342137</v>
      </c>
      <c r="G27" s="647">
        <f t="shared" si="0"/>
        <v>19297.694088513203</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75"/>
      <c r="B32" s="648"/>
      <c r="C32" s="75"/>
      <c r="D32" s="75"/>
      <c r="E32" s="75"/>
      <c r="F32" s="648"/>
      <c r="G32" s="648"/>
      <c r="H32" s="75"/>
    </row>
    <row r="33" spans="1:8" x14ac:dyDescent="0.2">
      <c r="A33" s="21"/>
      <c r="B33" s="21"/>
      <c r="C33" s="21"/>
      <c r="D33" s="21"/>
      <c r="E33" s="21"/>
      <c r="F33" s="21"/>
      <c r="G33" s="21"/>
      <c r="H33" s="21"/>
    </row>
  </sheetData>
  <mergeCells count="6">
    <mergeCell ref="A9:B9"/>
    <mergeCell ref="A2:G2"/>
    <mergeCell ref="A4:F4"/>
    <mergeCell ref="A6:B6"/>
    <mergeCell ref="A7:B7"/>
    <mergeCell ref="A8:B8"/>
  </mergeCells>
  <pageMargins left="0.70866141732283472" right="0.70866141732283472" top="0.74803149606299213" bottom="0.74803149606299213" header="0.31496062992125984" footer="0.31496062992125984"/>
  <pageSetup paperSize="9" scale="95"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view="pageBreakPreview" zoomScale="85" zoomScaleNormal="100" zoomScaleSheetLayoutView="85" workbookViewId="0">
      <selection activeCell="L21" sqref="L21"/>
    </sheetView>
  </sheetViews>
  <sheetFormatPr defaultRowHeight="12.75" x14ac:dyDescent="0.2"/>
  <cols>
    <col min="1" max="1" width="12.42578125" customWidth="1"/>
    <col min="3" max="3" width="10.42578125" customWidth="1"/>
    <col min="6" max="6" width="12.140625" customWidth="1"/>
    <col min="8" max="8" width="15" customWidth="1"/>
    <col min="9" max="9" width="12" customWidth="1"/>
  </cols>
  <sheetData>
    <row r="2" spans="1:12" x14ac:dyDescent="0.2">
      <c r="A2" s="802" t="s">
        <v>255</v>
      </c>
      <c r="B2" s="802"/>
      <c r="C2" s="802"/>
      <c r="D2" s="802"/>
      <c r="E2" s="802"/>
      <c r="F2" s="802"/>
      <c r="G2" s="802"/>
    </row>
    <row r="3" spans="1:12" x14ac:dyDescent="0.2">
      <c r="A3" s="636"/>
      <c r="B3" s="637"/>
      <c r="C3" s="637"/>
      <c r="D3" s="637"/>
      <c r="E3" s="637"/>
      <c r="F3" s="637"/>
      <c r="G3" s="637"/>
    </row>
    <row r="4" spans="1:12" x14ac:dyDescent="0.2">
      <c r="A4" s="802" t="s">
        <v>256</v>
      </c>
      <c r="B4" s="802"/>
      <c r="C4" s="802"/>
      <c r="D4" s="802"/>
      <c r="E4" s="802"/>
      <c r="F4" s="802"/>
      <c r="G4" s="637"/>
    </row>
    <row r="5" spans="1:12" x14ac:dyDescent="0.2">
      <c r="A5" s="3"/>
    </row>
    <row r="6" spans="1:12" x14ac:dyDescent="0.2">
      <c r="A6" s="803" t="s">
        <v>257</v>
      </c>
      <c r="B6" s="803"/>
      <c r="D6" s="638">
        <f>'podatki analize'!D27/'podatki analize'!D33</f>
        <v>4.2684836759641591</v>
      </c>
      <c r="E6" s="38" t="s">
        <v>258</v>
      </c>
      <c r="F6" s="3"/>
      <c r="G6" s="3"/>
      <c r="H6" s="3"/>
      <c r="I6" s="3"/>
      <c r="J6" s="3"/>
      <c r="K6" s="3"/>
      <c r="L6" s="3"/>
    </row>
    <row r="7" spans="1:12" x14ac:dyDescent="0.2">
      <c r="A7" s="801" t="s">
        <v>259</v>
      </c>
      <c r="B7" s="801"/>
      <c r="D7" s="639">
        <f>NPV('podatki analize'!E35,B13:B27)-B12</f>
        <v>17315.850401908276</v>
      </c>
      <c r="E7" s="38" t="s">
        <v>260</v>
      </c>
    </row>
    <row r="8" spans="1:12" x14ac:dyDescent="0.2">
      <c r="A8" s="801" t="s">
        <v>261</v>
      </c>
      <c r="B8" s="801"/>
      <c r="C8" s="3"/>
      <c r="D8" s="639">
        <f>NPV('podatki analize'!E35,F13:F27)+F12</f>
        <v>12276.435313559879</v>
      </c>
      <c r="E8" s="38" t="s">
        <v>260</v>
      </c>
    </row>
    <row r="9" spans="1:12" x14ac:dyDescent="0.2">
      <c r="A9" s="801" t="s">
        <v>262</v>
      </c>
      <c r="B9" s="801"/>
      <c r="D9" s="640">
        <f>IRR(F12:F27,0.01)</f>
        <v>0.22281126455901301</v>
      </c>
      <c r="E9" s="38"/>
    </row>
    <row r="10" spans="1:12" x14ac:dyDescent="0.2">
      <c r="A10" s="2"/>
      <c r="B10" s="2"/>
      <c r="C10" s="2"/>
      <c r="D10" s="2"/>
      <c r="E10" s="2"/>
      <c r="F10" s="2"/>
      <c r="G10" s="2"/>
      <c r="H10" s="2"/>
    </row>
    <row r="11" spans="1:12" ht="52.5" customHeight="1" x14ac:dyDescent="0.2">
      <c r="A11" s="641" t="s">
        <v>263</v>
      </c>
      <c r="B11" s="642" t="s">
        <v>264</v>
      </c>
      <c r="C11" s="641" t="s">
        <v>265</v>
      </c>
      <c r="D11" s="643"/>
      <c r="E11" s="641" t="s">
        <v>263</v>
      </c>
      <c r="F11" s="642" t="s">
        <v>264</v>
      </c>
      <c r="G11" s="641" t="s">
        <v>266</v>
      </c>
      <c r="H11" s="644" t="s">
        <v>267</v>
      </c>
    </row>
    <row r="12" spans="1:12" x14ac:dyDescent="0.2">
      <c r="A12" s="75">
        <v>0</v>
      </c>
      <c r="B12" s="645">
        <f>-'podatki analize'!D27</f>
        <v>-7650</v>
      </c>
      <c r="C12" s="645">
        <f>'podatki analize'!D32</f>
        <v>869.35722116884392</v>
      </c>
      <c r="D12" s="75"/>
      <c r="E12" s="75">
        <v>0</v>
      </c>
      <c r="F12" s="645">
        <f>B12</f>
        <v>-7650</v>
      </c>
      <c r="G12" s="645">
        <f>F12</f>
        <v>-7650</v>
      </c>
      <c r="H12" s="645">
        <f>'podatki analize'!D33</f>
        <v>1792.2055185725944</v>
      </c>
      <c r="J12" s="646"/>
      <c r="K12" s="646"/>
    </row>
    <row r="13" spans="1:12" x14ac:dyDescent="0.2">
      <c r="A13" s="39">
        <v>1</v>
      </c>
      <c r="B13" s="647">
        <f>C12</f>
        <v>869.35722116884392</v>
      </c>
      <c r="C13" s="39"/>
      <c r="D13" s="39"/>
      <c r="E13" s="39">
        <v>1</v>
      </c>
      <c r="F13" s="647">
        <f>H12</f>
        <v>1792.2055185725944</v>
      </c>
      <c r="G13" s="647">
        <f t="shared" ref="G13:G27" si="0">G12+F13</f>
        <v>-5857.7944814274051</v>
      </c>
      <c r="H13" s="39"/>
    </row>
    <row r="14" spans="1:12" x14ac:dyDescent="0.2">
      <c r="A14" s="39">
        <v>2</v>
      </c>
      <c r="B14" s="647">
        <f t="shared" ref="B14:B27" si="1">B13</f>
        <v>869.35722116884392</v>
      </c>
      <c r="C14" s="39"/>
      <c r="D14" s="39"/>
      <c r="E14" s="39">
        <v>2</v>
      </c>
      <c r="F14" s="647">
        <f t="shared" ref="F14:F27" si="2">F13</f>
        <v>1792.2055185725944</v>
      </c>
      <c r="G14" s="647">
        <f t="shared" si="0"/>
        <v>-4065.5889628548107</v>
      </c>
      <c r="H14" s="39"/>
    </row>
    <row r="15" spans="1:12" x14ac:dyDescent="0.2">
      <c r="A15" s="39">
        <v>3</v>
      </c>
      <c r="B15" s="647">
        <f t="shared" si="1"/>
        <v>869.35722116884392</v>
      </c>
      <c r="C15" s="39"/>
      <c r="D15" s="39"/>
      <c r="E15" s="39">
        <v>3</v>
      </c>
      <c r="F15" s="647">
        <f t="shared" si="2"/>
        <v>1792.2055185725944</v>
      </c>
      <c r="G15" s="647">
        <f t="shared" si="0"/>
        <v>-2273.3834442822163</v>
      </c>
      <c r="H15" s="39"/>
      <c r="J15" s="646"/>
      <c r="K15" s="646"/>
    </row>
    <row r="16" spans="1:12" x14ac:dyDescent="0.2">
      <c r="A16" s="39">
        <v>4</v>
      </c>
      <c r="B16" s="647">
        <f t="shared" si="1"/>
        <v>869.35722116884392</v>
      </c>
      <c r="C16" s="39"/>
      <c r="D16" s="39"/>
      <c r="E16" s="39">
        <v>4</v>
      </c>
      <c r="F16" s="647">
        <f t="shared" si="2"/>
        <v>1792.2055185725944</v>
      </c>
      <c r="G16" s="647">
        <f t="shared" si="0"/>
        <v>-481.17792570962183</v>
      </c>
      <c r="H16" s="39"/>
    </row>
    <row r="17" spans="1:8" x14ac:dyDescent="0.2">
      <c r="A17" s="39">
        <v>5</v>
      </c>
      <c r="B17" s="647">
        <f t="shared" si="1"/>
        <v>869.35722116884392</v>
      </c>
      <c r="C17" s="39"/>
      <c r="D17" s="39"/>
      <c r="E17" s="39">
        <v>5</v>
      </c>
      <c r="F17" s="647">
        <f t="shared" si="2"/>
        <v>1792.2055185725944</v>
      </c>
      <c r="G17" s="647">
        <f t="shared" si="0"/>
        <v>1311.0275928629726</v>
      </c>
      <c r="H17" s="39"/>
    </row>
    <row r="18" spans="1:8" x14ac:dyDescent="0.2">
      <c r="A18" s="39">
        <v>6</v>
      </c>
      <c r="B18" s="647">
        <f t="shared" si="1"/>
        <v>869.35722116884392</v>
      </c>
      <c r="C18" s="39"/>
      <c r="D18" s="39"/>
      <c r="E18" s="39">
        <v>6</v>
      </c>
      <c r="F18" s="647">
        <f t="shared" si="2"/>
        <v>1792.2055185725944</v>
      </c>
      <c r="G18" s="647">
        <f t="shared" si="0"/>
        <v>3103.233111435567</v>
      </c>
      <c r="H18" s="39"/>
    </row>
    <row r="19" spans="1:8" x14ac:dyDescent="0.2">
      <c r="A19" s="39">
        <v>7</v>
      </c>
      <c r="B19" s="647">
        <f t="shared" si="1"/>
        <v>869.35722116884392</v>
      </c>
      <c r="C19" s="39"/>
      <c r="D19" s="39"/>
      <c r="E19" s="39">
        <v>7</v>
      </c>
      <c r="F19" s="647">
        <f t="shared" si="2"/>
        <v>1792.2055185725944</v>
      </c>
      <c r="G19" s="647">
        <f t="shared" si="0"/>
        <v>4895.4386300081615</v>
      </c>
      <c r="H19" s="39"/>
    </row>
    <row r="20" spans="1:8" x14ac:dyDescent="0.2">
      <c r="A20" s="39">
        <v>8</v>
      </c>
      <c r="B20" s="647">
        <f t="shared" si="1"/>
        <v>869.35722116884392</v>
      </c>
      <c r="C20" s="39"/>
      <c r="D20" s="39"/>
      <c r="E20" s="39">
        <v>8</v>
      </c>
      <c r="F20" s="647">
        <f t="shared" si="2"/>
        <v>1792.2055185725944</v>
      </c>
      <c r="G20" s="647">
        <f t="shared" si="0"/>
        <v>6687.6441485807554</v>
      </c>
      <c r="H20" s="39"/>
    </row>
    <row r="21" spans="1:8" x14ac:dyDescent="0.2">
      <c r="A21" s="39">
        <v>9</v>
      </c>
      <c r="B21" s="647">
        <f t="shared" si="1"/>
        <v>869.35722116884392</v>
      </c>
      <c r="C21" s="39"/>
      <c r="D21" s="39"/>
      <c r="E21" s="39">
        <v>9</v>
      </c>
      <c r="F21" s="647">
        <f t="shared" si="2"/>
        <v>1792.2055185725944</v>
      </c>
      <c r="G21" s="647">
        <f t="shared" si="0"/>
        <v>8479.8496671533503</v>
      </c>
      <c r="H21" s="39"/>
    </row>
    <row r="22" spans="1:8" x14ac:dyDescent="0.2">
      <c r="A22" s="39">
        <v>10</v>
      </c>
      <c r="B22" s="647">
        <f t="shared" si="1"/>
        <v>869.35722116884392</v>
      </c>
      <c r="C22" s="39"/>
      <c r="D22" s="39"/>
      <c r="E22" s="39">
        <v>10</v>
      </c>
      <c r="F22" s="647">
        <f t="shared" si="2"/>
        <v>1792.2055185725944</v>
      </c>
      <c r="G22" s="647">
        <f t="shared" si="0"/>
        <v>10272.055185725945</v>
      </c>
      <c r="H22" s="39"/>
    </row>
    <row r="23" spans="1:8" x14ac:dyDescent="0.2">
      <c r="A23" s="39">
        <v>11</v>
      </c>
      <c r="B23" s="647">
        <f t="shared" si="1"/>
        <v>869.35722116884392</v>
      </c>
      <c r="C23" s="39"/>
      <c r="D23" s="39"/>
      <c r="E23" s="39">
        <v>11</v>
      </c>
      <c r="F23" s="647">
        <f t="shared" si="2"/>
        <v>1792.2055185725944</v>
      </c>
      <c r="G23" s="647">
        <f t="shared" si="0"/>
        <v>12064.26070429854</v>
      </c>
      <c r="H23" s="39"/>
    </row>
    <row r="24" spans="1:8" x14ac:dyDescent="0.2">
      <c r="A24" s="39">
        <v>12</v>
      </c>
      <c r="B24" s="647">
        <f t="shared" si="1"/>
        <v>869.35722116884392</v>
      </c>
      <c r="C24" s="39"/>
      <c r="D24" s="39"/>
      <c r="E24" s="39">
        <v>12</v>
      </c>
      <c r="F24" s="647">
        <f t="shared" si="2"/>
        <v>1792.2055185725944</v>
      </c>
      <c r="G24" s="647">
        <f t="shared" si="0"/>
        <v>13856.466222871135</v>
      </c>
      <c r="H24" s="39"/>
    </row>
    <row r="25" spans="1:8" x14ac:dyDescent="0.2">
      <c r="A25" s="39">
        <v>13</v>
      </c>
      <c r="B25" s="647">
        <f t="shared" si="1"/>
        <v>869.35722116884392</v>
      </c>
      <c r="C25" s="39"/>
      <c r="D25" s="39"/>
      <c r="E25" s="39">
        <v>13</v>
      </c>
      <c r="F25" s="647">
        <f t="shared" si="2"/>
        <v>1792.2055185725944</v>
      </c>
      <c r="G25" s="647">
        <f t="shared" si="0"/>
        <v>15648.67174144373</v>
      </c>
      <c r="H25" s="39"/>
    </row>
    <row r="26" spans="1:8" x14ac:dyDescent="0.2">
      <c r="A26" s="39">
        <v>14</v>
      </c>
      <c r="B26" s="647">
        <f t="shared" si="1"/>
        <v>869.35722116884392</v>
      </c>
      <c r="C26" s="39"/>
      <c r="D26" s="39"/>
      <c r="E26" s="39">
        <v>14</v>
      </c>
      <c r="F26" s="647">
        <f t="shared" si="2"/>
        <v>1792.2055185725944</v>
      </c>
      <c r="G26" s="647">
        <f t="shared" si="0"/>
        <v>17440.877260016325</v>
      </c>
      <c r="H26" s="39"/>
    </row>
    <row r="27" spans="1:8" x14ac:dyDescent="0.2">
      <c r="A27" s="39">
        <v>15</v>
      </c>
      <c r="B27" s="647">
        <f t="shared" si="1"/>
        <v>869.35722116884392</v>
      </c>
      <c r="C27" s="39"/>
      <c r="D27" s="39"/>
      <c r="E27" s="39">
        <v>15</v>
      </c>
      <c r="F27" s="647">
        <f t="shared" si="2"/>
        <v>1792.2055185725944</v>
      </c>
      <c r="G27" s="647">
        <f t="shared" si="0"/>
        <v>19233.08277858892</v>
      </c>
      <c r="H27" s="39"/>
    </row>
    <row r="28" spans="1:8" x14ac:dyDescent="0.2">
      <c r="A28" s="39"/>
      <c r="B28" s="647"/>
      <c r="C28" s="39"/>
      <c r="D28" s="39"/>
      <c r="E28" s="39"/>
      <c r="F28" s="647"/>
      <c r="G28" s="647"/>
      <c r="H28" s="39"/>
    </row>
    <row r="29" spans="1:8" x14ac:dyDescent="0.2">
      <c r="A29" s="39"/>
      <c r="B29" s="647"/>
      <c r="C29" s="39"/>
      <c r="D29" s="39"/>
      <c r="E29" s="39"/>
      <c r="F29" s="647"/>
      <c r="G29" s="647"/>
      <c r="H29" s="39"/>
    </row>
    <row r="30" spans="1:8" x14ac:dyDescent="0.2">
      <c r="A30" s="39"/>
      <c r="B30" s="647"/>
      <c r="C30" s="39"/>
      <c r="D30" s="39"/>
      <c r="E30" s="39"/>
      <c r="F30" s="647"/>
      <c r="G30" s="647"/>
      <c r="H30" s="39"/>
    </row>
    <row r="31" spans="1:8" x14ac:dyDescent="0.2">
      <c r="A31" s="39"/>
      <c r="B31" s="647"/>
      <c r="C31" s="39"/>
      <c r="D31" s="39"/>
      <c r="E31" s="39"/>
      <c r="F31" s="647"/>
      <c r="G31" s="647"/>
      <c r="H31" s="39"/>
    </row>
    <row r="32" spans="1:8" x14ac:dyDescent="0.2">
      <c r="A32" s="75"/>
      <c r="B32" s="648"/>
      <c r="C32" s="75"/>
      <c r="D32" s="75"/>
      <c r="E32" s="75"/>
      <c r="F32" s="648"/>
      <c r="G32" s="648"/>
      <c r="H32" s="75"/>
    </row>
    <row r="33" spans="1:8" x14ac:dyDescent="0.2">
      <c r="A33" s="21"/>
      <c r="B33" s="21"/>
      <c r="C33" s="21"/>
      <c r="D33" s="21"/>
      <c r="E33" s="21"/>
      <c r="F33" s="21"/>
      <c r="G33" s="21"/>
      <c r="H33" s="21"/>
    </row>
  </sheetData>
  <mergeCells count="6">
    <mergeCell ref="A9:B9"/>
    <mergeCell ref="A2:G2"/>
    <mergeCell ref="A4:F4"/>
    <mergeCell ref="A6:B6"/>
    <mergeCell ref="A7:B7"/>
    <mergeCell ref="A8:B8"/>
  </mergeCells>
  <pageMargins left="0.70866141732283472" right="0.70866141732283472" top="0.74803149606299213" bottom="0.74803149606299213" header="0.31496062992125984" footer="0.31496062992125984"/>
  <pageSetup paperSize="9" scale="95"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Delovni listi</vt:lpstr>
      </vt:variant>
      <vt:variant>
        <vt:i4>18</vt:i4>
      </vt:variant>
      <vt:variant>
        <vt:lpstr>Grafikoni</vt:lpstr>
      </vt:variant>
      <vt:variant>
        <vt:i4>8</vt:i4>
      </vt:variant>
      <vt:variant>
        <vt:lpstr>Imenovani obsegi</vt:lpstr>
      </vt:variant>
      <vt:variant>
        <vt:i4>2</vt:i4>
      </vt:variant>
    </vt:vector>
  </HeadingPairs>
  <TitlesOfParts>
    <vt:vector size="28" baseType="lpstr">
      <vt:lpstr>naslovna stran</vt:lpstr>
      <vt:lpstr>navodila</vt:lpstr>
      <vt:lpstr>vhodni podatki</vt:lpstr>
      <vt:lpstr>stroški investicije</vt:lpstr>
      <vt:lpstr>rezultati</vt:lpstr>
      <vt:lpstr>izračun energentov</vt:lpstr>
      <vt:lpstr>podatki analize</vt:lpstr>
      <vt:lpstr>ekon.kaz.polena</vt:lpstr>
      <vt:lpstr>ekon.kaz.polena (2)</vt:lpstr>
      <vt:lpstr>ekon.kaz.sekanci</vt:lpstr>
      <vt:lpstr>ekon.kaz.peleti</vt:lpstr>
      <vt:lpstr>ekon.kaz.ELKO</vt:lpstr>
      <vt:lpstr>ekon.kaz.UNP</vt:lpstr>
      <vt:lpstr>ekon.kaz.ZP</vt:lpstr>
      <vt:lpstr>ekon.kaz.TČ</vt:lpstr>
      <vt:lpstr>ekon.kaz.TČ (2)</vt:lpstr>
      <vt:lpstr>ekon.kaz.TČ (3)</vt:lpstr>
      <vt:lpstr>ekonomska primerjava</vt:lpstr>
      <vt:lpstr>str. ogrev. na leto</vt:lpstr>
      <vt:lpstr>str. ogrev. na MWh</vt:lpstr>
      <vt:lpstr>stroški en. na MWh</vt:lpstr>
      <vt:lpstr>Str. energenta-sestavljeni</vt:lpstr>
      <vt:lpstr>masa en.</vt:lpstr>
      <vt:lpstr>volumen en.</vt:lpstr>
      <vt:lpstr>CO²</vt:lpstr>
      <vt:lpstr>primarna en.</vt:lpstr>
      <vt:lpstr>Nutzenergie</vt:lpstr>
      <vt:lpstr>'izračun energentov'!Področje_tiskanja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Tomaž Lozej</dc:creator>
  <cp:lastModifiedBy>Simona Pestotnik</cp:lastModifiedBy>
  <cp:lastPrinted>2018-01-22T11:59:55Z</cp:lastPrinted>
  <dcterms:created xsi:type="dcterms:W3CDTF">2017-12-19T17:20:35Z</dcterms:created>
  <dcterms:modified xsi:type="dcterms:W3CDTF">2018-08-14T09:02:01Z</dcterms:modified>
</cp:coreProperties>
</file>